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hcaz1-my.sharepoint.com/personal/morink_lhcaz_gov/Documents/Desktop/"/>
    </mc:Choice>
  </mc:AlternateContent>
  <xr:revisionPtr revIDLastSave="158" documentId="8_{A5E560F1-65D5-46E0-901C-F79987622824}" xr6:coauthVersionLast="47" xr6:coauthVersionMax="47" xr10:uidLastSave="{B06430D7-0306-41A3-A18F-57796D331999}"/>
  <bookViews>
    <workbookView xWindow="21480" yWindow="-120" windowWidth="21840" windowHeight="13140" tabRatio="775" activeTab="5" xr2:uid="{00000000-000D-0000-FFFF-FFFF00000000}"/>
  </bookViews>
  <sheets>
    <sheet name="WA Single Family" sheetId="12" r:id="rId1"/>
    <sheet name="WA Multi Family" sheetId="8" r:id="rId2"/>
    <sheet name="WA Commercial" sheetId="9" r:id="rId3"/>
    <sheet name="IRR Single Family" sheetId="10" r:id="rId4"/>
    <sheet name="IRR Other" sheetId="11" r:id="rId5"/>
    <sheet name="WA RV" sheetId="1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8" l="1"/>
  <c r="K7" i="8" s="1"/>
  <c r="Z4" i="8"/>
  <c r="V4" i="8"/>
  <c r="X4" i="8" s="1"/>
  <c r="M4" i="8"/>
  <c r="X7" i="8" l="1"/>
  <c r="X32" i="8"/>
  <c r="X35" i="8" s="1"/>
  <c r="X18" i="8"/>
  <c r="X21" i="8" s="1"/>
  <c r="X11" i="8"/>
  <c r="X14" i="8" s="1"/>
  <c r="X25" i="8"/>
  <c r="X28" i="8" s="1"/>
  <c r="K11" i="8"/>
  <c r="K14" i="8" s="1"/>
  <c r="K18" i="8"/>
  <c r="K21" i="8" s="1"/>
  <c r="K25" i="8"/>
  <c r="K28" i="8" s="1"/>
  <c r="K32" i="8"/>
  <c r="K35" i="8" s="1"/>
  <c r="K27" i="9"/>
  <c r="K28" i="9" s="1"/>
  <c r="K21" i="9"/>
  <c r="K22" i="9" s="1"/>
  <c r="K15" i="9"/>
  <c r="K16" i="9" s="1"/>
  <c r="K9" i="9"/>
  <c r="K10" i="9" s="1"/>
  <c r="Z32" i="8"/>
  <c r="Z35" i="8" s="1"/>
  <c r="V32" i="8"/>
  <c r="V35" i="8" s="1"/>
  <c r="Z25" i="8"/>
  <c r="Z28" i="8" s="1"/>
  <c r="V25" i="8"/>
  <c r="V28" i="8" s="1"/>
  <c r="Z18" i="8"/>
  <c r="Z21" i="8" s="1"/>
  <c r="V18" i="8"/>
  <c r="V21" i="8" s="1"/>
  <c r="Z11" i="8"/>
  <c r="Z14" i="8" s="1"/>
  <c r="V11" i="8"/>
  <c r="V14" i="8" s="1"/>
  <c r="Z7" i="8"/>
  <c r="V7" i="8"/>
  <c r="M32" i="8"/>
  <c r="M35" i="8" s="1"/>
  <c r="M25" i="8"/>
  <c r="M28" i="8" s="1"/>
  <c r="M18" i="8"/>
  <c r="M21" i="8" s="1"/>
  <c r="M11" i="8"/>
  <c r="M14" i="8" s="1"/>
  <c r="M7" i="8"/>
  <c r="I32" i="8"/>
  <c r="I35" i="8" s="1"/>
  <c r="I25" i="8"/>
  <c r="I28" i="8" s="1"/>
  <c r="I18" i="8"/>
  <c r="I21" i="8" s="1"/>
  <c r="I11" i="8"/>
  <c r="I14" i="8" s="1"/>
  <c r="D9" i="8"/>
  <c r="C10" i="8" s="1"/>
  <c r="I7" i="8"/>
  <c r="I32" i="13"/>
  <c r="I33" i="13" s="1"/>
  <c r="I25" i="13"/>
  <c r="I26" i="13" s="1"/>
  <c r="I18" i="13"/>
  <c r="I19" i="13" s="1"/>
  <c r="I11" i="13"/>
  <c r="I12" i="13" s="1"/>
  <c r="I6" i="13"/>
  <c r="I5" i="13"/>
  <c r="K5" i="9"/>
  <c r="K4" i="9"/>
  <c r="H29" i="9"/>
  <c r="H30" i="9" s="1"/>
  <c r="H23" i="9"/>
  <c r="H24" i="9" s="1"/>
  <c r="H17" i="9"/>
  <c r="H18" i="9" s="1"/>
  <c r="H11" i="9"/>
  <c r="H12" i="9" s="1"/>
  <c r="H5" i="9"/>
  <c r="H6" i="9" s="1"/>
  <c r="C3" i="13"/>
  <c r="C4" i="13" s="1"/>
  <c r="M30" i="13"/>
  <c r="L31" i="13" s="1"/>
  <c r="D30" i="13"/>
  <c r="C31" i="13" s="1"/>
  <c r="M23" i="13"/>
  <c r="L24" i="13" s="1"/>
  <c r="D23" i="13"/>
  <c r="C24" i="13" s="1"/>
  <c r="F24" i="13" s="1"/>
  <c r="M16" i="13"/>
  <c r="L17" i="13" s="1"/>
  <c r="D16" i="13"/>
  <c r="C17" i="13" s="1"/>
  <c r="M9" i="13"/>
  <c r="L10" i="13" s="1"/>
  <c r="D9" i="13"/>
  <c r="C10" i="13" s="1"/>
  <c r="M2" i="13"/>
  <c r="L3" i="13" s="1"/>
  <c r="C3" i="11"/>
  <c r="D26" i="11"/>
  <c r="C27" i="11" s="1"/>
  <c r="F27" i="11" s="1"/>
  <c r="D20" i="11"/>
  <c r="C21" i="11" s="1"/>
  <c r="C22" i="11" s="1"/>
  <c r="D14" i="11"/>
  <c r="C15" i="11" s="1"/>
  <c r="D8" i="11"/>
  <c r="C9" i="11" s="1"/>
  <c r="C3" i="10"/>
  <c r="D26" i="10"/>
  <c r="C27" i="10" s="1"/>
  <c r="D20" i="10"/>
  <c r="C21" i="10" s="1"/>
  <c r="C22" i="10" s="1"/>
  <c r="D14" i="10"/>
  <c r="C15" i="10" s="1"/>
  <c r="D8" i="10"/>
  <c r="C9" i="10" s="1"/>
  <c r="C10" i="10" s="1"/>
  <c r="D26" i="9"/>
  <c r="C27" i="9" s="1"/>
  <c r="D20" i="9"/>
  <c r="C21" i="9" s="1"/>
  <c r="D14" i="9"/>
  <c r="C15" i="9" s="1"/>
  <c r="D8" i="9"/>
  <c r="C9" i="9" s="1"/>
  <c r="F9" i="9" s="1"/>
  <c r="Q23" i="8"/>
  <c r="P24" i="8" s="1"/>
  <c r="Q16" i="8"/>
  <c r="P17" i="8" s="1"/>
  <c r="Q9" i="8"/>
  <c r="P10" i="8" s="1"/>
  <c r="Q2" i="8"/>
  <c r="P3" i="8" s="1"/>
  <c r="D30" i="8"/>
  <c r="C31" i="8" s="1"/>
  <c r="D23" i="8"/>
  <c r="C24" i="8" s="1"/>
  <c r="D16" i="8"/>
  <c r="C17" i="8" s="1"/>
  <c r="Q30" i="8"/>
  <c r="P31" i="8" s="1"/>
  <c r="D30" i="12"/>
  <c r="C31" i="12" s="1"/>
  <c r="D23" i="12"/>
  <c r="C24" i="12" s="1"/>
  <c r="D16" i="12"/>
  <c r="C17" i="12" s="1"/>
  <c r="D9" i="12"/>
  <c r="C10" i="12" s="1"/>
  <c r="F10" i="12" s="1"/>
  <c r="C3" i="8"/>
  <c r="C3" i="9"/>
  <c r="C3" i="12"/>
  <c r="C4" i="12" s="1"/>
  <c r="C5" i="12" s="1"/>
  <c r="I34" i="13" l="1"/>
  <c r="I35" i="13" s="1"/>
  <c r="C28" i="10"/>
  <c r="I13" i="13"/>
  <c r="I14" i="13" s="1"/>
  <c r="I20" i="13"/>
  <c r="I21" i="13" s="1"/>
  <c r="I27" i="13"/>
  <c r="I28" i="13" s="1"/>
  <c r="K6" i="9"/>
  <c r="K11" i="9"/>
  <c r="K12" i="9" s="1"/>
  <c r="P25" i="8"/>
  <c r="P26" i="8" s="1"/>
  <c r="P27" i="8" s="1"/>
  <c r="S24" i="8"/>
  <c r="I7" i="13"/>
  <c r="K17" i="9"/>
  <c r="K18" i="9" s="1"/>
  <c r="K23" i="9"/>
  <c r="K24" i="9" s="1"/>
  <c r="K29" i="9"/>
  <c r="K30" i="9" s="1"/>
  <c r="C29" i="10"/>
  <c r="C4" i="10"/>
  <c r="C5" i="10" s="1"/>
  <c r="F5" i="10" s="1"/>
  <c r="P32" i="8"/>
  <c r="P33" i="8" s="1"/>
  <c r="P18" i="8"/>
  <c r="P19" i="8" s="1"/>
  <c r="P20" i="8" s="1"/>
  <c r="S17" i="8"/>
  <c r="P11" i="8"/>
  <c r="P12" i="8" s="1"/>
  <c r="P4" i="8"/>
  <c r="P5" i="8" s="1"/>
  <c r="C5" i="13"/>
  <c r="F10" i="13"/>
  <c r="C18" i="13"/>
  <c r="F18" i="13" s="1"/>
  <c r="C32" i="13"/>
  <c r="C33" i="13" s="1"/>
  <c r="C34" i="13" s="1"/>
  <c r="L11" i="13"/>
  <c r="L12" i="13" s="1"/>
  <c r="L13" i="13" s="1"/>
  <c r="L25" i="13"/>
  <c r="L26" i="13" s="1"/>
  <c r="C11" i="13"/>
  <c r="C12" i="13" s="1"/>
  <c r="C25" i="13"/>
  <c r="F25" i="13" s="1"/>
  <c r="L4" i="13"/>
  <c r="L5" i="13" s="1"/>
  <c r="L18" i="13"/>
  <c r="L19" i="13" s="1"/>
  <c r="L32" i="13"/>
  <c r="O32" i="13" s="1"/>
  <c r="O10" i="13"/>
  <c r="O31" i="13"/>
  <c r="F3" i="13"/>
  <c r="O24" i="13"/>
  <c r="F17" i="13"/>
  <c r="F4" i="13"/>
  <c r="O17" i="13"/>
  <c r="F31" i="13"/>
  <c r="C28" i="11"/>
  <c r="F28" i="11" s="1"/>
  <c r="C23" i="11"/>
  <c r="F23" i="11" s="1"/>
  <c r="F22" i="11"/>
  <c r="C16" i="11"/>
  <c r="F16" i="11" s="1"/>
  <c r="C10" i="11"/>
  <c r="C11" i="11" s="1"/>
  <c r="C4" i="11"/>
  <c r="C5" i="11" s="1"/>
  <c r="F5" i="11" s="1"/>
  <c r="F21" i="11"/>
  <c r="F15" i="11"/>
  <c r="F9" i="11"/>
  <c r="F3" i="11"/>
  <c r="C23" i="10"/>
  <c r="C16" i="10"/>
  <c r="C17" i="10" s="1"/>
  <c r="C11" i="10"/>
  <c r="F3" i="10"/>
  <c r="C16" i="9"/>
  <c r="F16" i="9" s="1"/>
  <c r="F21" i="9"/>
  <c r="C22" i="9"/>
  <c r="F22" i="9" s="1"/>
  <c r="F27" i="9"/>
  <c r="C28" i="9"/>
  <c r="F28" i="9" s="1"/>
  <c r="F15" i="9"/>
  <c r="C10" i="9"/>
  <c r="F10" i="9" s="1"/>
  <c r="C4" i="8"/>
  <c r="F4" i="8" s="1"/>
  <c r="C18" i="8"/>
  <c r="C19" i="8" s="1"/>
  <c r="C20" i="8" s="1"/>
  <c r="C32" i="8"/>
  <c r="C33" i="8" s="1"/>
  <c r="C11" i="8"/>
  <c r="F11" i="8" s="1"/>
  <c r="C25" i="8"/>
  <c r="F25" i="8" s="1"/>
  <c r="F31" i="8"/>
  <c r="F24" i="8"/>
  <c r="F3" i="8"/>
  <c r="S3" i="8"/>
  <c r="F10" i="8"/>
  <c r="S31" i="8"/>
  <c r="S10" i="8"/>
  <c r="F17" i="8"/>
  <c r="C11" i="12"/>
  <c r="F11" i="12" s="1"/>
  <c r="F31" i="12"/>
  <c r="C32" i="12"/>
  <c r="F32" i="12" s="1"/>
  <c r="F24" i="12"/>
  <c r="C25" i="12"/>
  <c r="F25" i="12" s="1"/>
  <c r="F17" i="12"/>
  <c r="C18" i="12"/>
  <c r="F18" i="12" s="1"/>
  <c r="C4" i="9"/>
  <c r="C5" i="9" s="1"/>
  <c r="C29" i="11" l="1"/>
  <c r="F29" i="11" s="1"/>
  <c r="F30" i="11" s="1"/>
  <c r="S25" i="8"/>
  <c r="S18" i="8"/>
  <c r="F18" i="8"/>
  <c r="F4" i="10"/>
  <c r="P34" i="8"/>
  <c r="S32" i="8"/>
  <c r="P13" i="8"/>
  <c r="S11" i="8"/>
  <c r="S4" i="8"/>
  <c r="P6" i="8"/>
  <c r="F11" i="13"/>
  <c r="O11" i="13"/>
  <c r="C19" i="13"/>
  <c r="F19" i="13" s="1"/>
  <c r="F32" i="13"/>
  <c r="L27" i="13"/>
  <c r="L20" i="13"/>
  <c r="C26" i="13"/>
  <c r="C27" i="13" s="1"/>
  <c r="C13" i="13"/>
  <c r="L6" i="13"/>
  <c r="L33" i="13"/>
  <c r="O33" i="13" s="1"/>
  <c r="O12" i="13"/>
  <c r="F33" i="13"/>
  <c r="F5" i="13"/>
  <c r="F34" i="13"/>
  <c r="O18" i="13"/>
  <c r="O25" i="13"/>
  <c r="O3" i="13"/>
  <c r="O4" i="13"/>
  <c r="C17" i="11"/>
  <c r="F17" i="11" s="1"/>
  <c r="F18" i="11" s="1"/>
  <c r="F4" i="11"/>
  <c r="F6" i="11" s="1"/>
  <c r="F24" i="11"/>
  <c r="F10" i="11"/>
  <c r="F11" i="11"/>
  <c r="F6" i="10"/>
  <c r="F27" i="10"/>
  <c r="F28" i="10"/>
  <c r="F15" i="10"/>
  <c r="F21" i="10"/>
  <c r="F22" i="10"/>
  <c r="F9" i="10"/>
  <c r="C23" i="9"/>
  <c r="F23" i="9" s="1"/>
  <c r="F24" i="9" s="1"/>
  <c r="C17" i="9"/>
  <c r="F17" i="9" s="1"/>
  <c r="F18" i="9" s="1"/>
  <c r="C29" i="9"/>
  <c r="F29" i="9" s="1"/>
  <c r="F30" i="9" s="1"/>
  <c r="C11" i="9"/>
  <c r="F11" i="9" s="1"/>
  <c r="F12" i="9" s="1"/>
  <c r="S19" i="8"/>
  <c r="F32" i="8"/>
  <c r="C26" i="8"/>
  <c r="F26" i="8" s="1"/>
  <c r="C12" i="8"/>
  <c r="C13" i="8" s="1"/>
  <c r="F13" i="8" s="1"/>
  <c r="C5" i="8"/>
  <c r="F5" i="8" s="1"/>
  <c r="C34" i="8"/>
  <c r="F34" i="8" s="1"/>
  <c r="F33" i="8"/>
  <c r="S33" i="8"/>
  <c r="F19" i="8"/>
  <c r="S12" i="8"/>
  <c r="C12" i="12"/>
  <c r="F12" i="12" s="1"/>
  <c r="C33" i="12"/>
  <c r="F33" i="12" s="1"/>
  <c r="C26" i="12"/>
  <c r="C19" i="12"/>
  <c r="F19" i="12" s="1"/>
  <c r="C27" i="8" l="1"/>
  <c r="F27" i="8" s="1"/>
  <c r="F28" i="8" s="1"/>
  <c r="L34" i="13"/>
  <c r="O34" i="13" s="1"/>
  <c r="O35" i="13" s="1"/>
  <c r="F26" i="13"/>
  <c r="C20" i="13"/>
  <c r="F20" i="13" s="1"/>
  <c r="F21" i="13" s="1"/>
  <c r="F35" i="13"/>
  <c r="F27" i="13"/>
  <c r="O13" i="13"/>
  <c r="O14" i="13" s="1"/>
  <c r="O27" i="13"/>
  <c r="O19" i="13"/>
  <c r="F12" i="13"/>
  <c r="F13" i="13"/>
  <c r="O26" i="13"/>
  <c r="C6" i="13"/>
  <c r="F6" i="13" s="1"/>
  <c r="F7" i="13" s="1"/>
  <c r="F12" i="11"/>
  <c r="F10" i="10"/>
  <c r="F11" i="10"/>
  <c r="F12" i="10" s="1"/>
  <c r="F16" i="10"/>
  <c r="F17" i="10"/>
  <c r="F29" i="10"/>
  <c r="F30" i="10" s="1"/>
  <c r="F23" i="10"/>
  <c r="F24" i="10" s="1"/>
  <c r="F12" i="8"/>
  <c r="F14" i="8" s="1"/>
  <c r="S20" i="8"/>
  <c r="S21" i="8" s="1"/>
  <c r="C6" i="8"/>
  <c r="F6" i="8" s="1"/>
  <c r="F7" i="8" s="1"/>
  <c r="F35" i="8"/>
  <c r="S34" i="8"/>
  <c r="S35" i="8" s="1"/>
  <c r="S26" i="8"/>
  <c r="S27" i="8"/>
  <c r="S5" i="8"/>
  <c r="S6" i="8"/>
  <c r="F20" i="8"/>
  <c r="F21" i="8" s="1"/>
  <c r="S13" i="8"/>
  <c r="S14" i="8" s="1"/>
  <c r="C13" i="12"/>
  <c r="F13" i="12" s="1"/>
  <c r="F14" i="12" s="1"/>
  <c r="C34" i="12"/>
  <c r="F34" i="12" s="1"/>
  <c r="F35" i="12" s="1"/>
  <c r="F26" i="12"/>
  <c r="C27" i="12"/>
  <c r="F27" i="12" s="1"/>
  <c r="C20" i="12"/>
  <c r="F20" i="12" s="1"/>
  <c r="F21" i="12" s="1"/>
  <c r="F28" i="13" l="1"/>
  <c r="S28" i="8"/>
  <c r="O28" i="13"/>
  <c r="O5" i="13"/>
  <c r="O6" i="13"/>
  <c r="F14" i="13"/>
  <c r="O20" i="13"/>
  <c r="O21" i="13" s="1"/>
  <c r="F18" i="10"/>
  <c r="S7" i="8"/>
  <c r="F28" i="12"/>
  <c r="O7" i="13" l="1"/>
  <c r="F5" i="12"/>
  <c r="F4" i="12"/>
  <c r="F3" i="12"/>
  <c r="C6" i="12" l="1"/>
  <c r="F6" i="12" s="1"/>
  <c r="F7" i="12" s="1"/>
  <c r="F3" i="9" l="1"/>
  <c r="F4" i="9" l="1"/>
  <c r="F5" i="9"/>
  <c r="F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Benward</author>
  </authors>
  <commentList>
    <comment ref="F6" authorId="0" shapeId="0" xr:uid="{B0EDC840-098E-4870-BC4F-6C697F22BFCC}">
      <text>
        <r>
          <rPr>
            <b/>
            <sz val="9"/>
            <color indexed="81"/>
            <rFont val="Tahoma"/>
            <family val="2"/>
          </rPr>
          <t>Mark Benward:</t>
        </r>
        <r>
          <rPr>
            <sz val="9"/>
            <color indexed="81"/>
            <rFont val="Tahoma"/>
            <family val="2"/>
          </rPr>
          <t xml:space="preserve">
Balance to Bill</t>
        </r>
      </text>
    </comment>
    <comment ref="F12" authorId="0" shapeId="0" xr:uid="{71DA64BC-151A-4155-AA7F-597427576908}">
      <text>
        <r>
          <rPr>
            <b/>
            <sz val="9"/>
            <color indexed="81"/>
            <rFont val="Tahoma"/>
            <family val="2"/>
          </rPr>
          <t>Mark Benward:</t>
        </r>
        <r>
          <rPr>
            <sz val="9"/>
            <color indexed="81"/>
            <rFont val="Tahoma"/>
            <family val="2"/>
          </rPr>
          <t xml:space="preserve">
Balance to Bill</t>
        </r>
      </text>
    </comment>
    <comment ref="F18" authorId="0" shapeId="0" xr:uid="{05021413-229B-43D0-8DDD-D3161D0CFC01}">
      <text>
        <r>
          <rPr>
            <b/>
            <sz val="9"/>
            <color indexed="81"/>
            <rFont val="Tahoma"/>
            <family val="2"/>
          </rPr>
          <t>Mark Benward:</t>
        </r>
        <r>
          <rPr>
            <sz val="9"/>
            <color indexed="81"/>
            <rFont val="Tahoma"/>
            <family val="2"/>
          </rPr>
          <t xml:space="preserve">
Balance to Bill</t>
        </r>
      </text>
    </comment>
    <comment ref="F24" authorId="0" shapeId="0" xr:uid="{B4BE24BB-AE06-4753-B8B1-70F1346DCF93}">
      <text>
        <r>
          <rPr>
            <b/>
            <sz val="9"/>
            <color indexed="81"/>
            <rFont val="Tahoma"/>
            <family val="2"/>
          </rPr>
          <t>Mark Benward:</t>
        </r>
        <r>
          <rPr>
            <sz val="9"/>
            <color indexed="81"/>
            <rFont val="Tahoma"/>
            <family val="2"/>
          </rPr>
          <t xml:space="preserve">
Balance to Bill</t>
        </r>
      </text>
    </comment>
    <comment ref="F30" authorId="0" shapeId="0" xr:uid="{50833947-E8D8-4200-BE84-0437E2DA3B33}">
      <text>
        <r>
          <rPr>
            <b/>
            <sz val="9"/>
            <color indexed="81"/>
            <rFont val="Tahoma"/>
            <family val="2"/>
          </rPr>
          <t>Mark Benward:</t>
        </r>
        <r>
          <rPr>
            <sz val="9"/>
            <color indexed="81"/>
            <rFont val="Tahoma"/>
            <family val="2"/>
          </rPr>
          <t xml:space="preserve">
Balance to Bill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Benward</author>
  </authors>
  <commentList>
    <comment ref="F6" authorId="0" shapeId="0" xr:uid="{2954C167-2FFA-41B4-ACA0-B28746E8584E}">
      <text>
        <r>
          <rPr>
            <b/>
            <sz val="9"/>
            <color indexed="81"/>
            <rFont val="Tahoma"/>
            <family val="2"/>
          </rPr>
          <t>Mark Benward:</t>
        </r>
        <r>
          <rPr>
            <sz val="9"/>
            <color indexed="81"/>
            <rFont val="Tahoma"/>
            <family val="2"/>
          </rPr>
          <t xml:space="preserve">
Balance to Bill</t>
        </r>
      </text>
    </comment>
    <comment ref="F12" authorId="0" shapeId="0" xr:uid="{F61279DB-AA73-4D7B-A44F-7C0C381FC196}">
      <text>
        <r>
          <rPr>
            <b/>
            <sz val="9"/>
            <color indexed="81"/>
            <rFont val="Tahoma"/>
            <family val="2"/>
          </rPr>
          <t>Mark Benward:</t>
        </r>
        <r>
          <rPr>
            <sz val="9"/>
            <color indexed="81"/>
            <rFont val="Tahoma"/>
            <family val="2"/>
          </rPr>
          <t xml:space="preserve">
Balance to Bill</t>
        </r>
      </text>
    </comment>
    <comment ref="F18" authorId="0" shapeId="0" xr:uid="{CA22CA81-42C6-414D-8848-49AFBD3039BA}">
      <text>
        <r>
          <rPr>
            <b/>
            <sz val="9"/>
            <color indexed="81"/>
            <rFont val="Tahoma"/>
            <family val="2"/>
          </rPr>
          <t>Mark Benward:</t>
        </r>
        <r>
          <rPr>
            <sz val="9"/>
            <color indexed="81"/>
            <rFont val="Tahoma"/>
            <family val="2"/>
          </rPr>
          <t xml:space="preserve">
Balance to Bill</t>
        </r>
      </text>
    </comment>
    <comment ref="F24" authorId="0" shapeId="0" xr:uid="{8D252992-12BE-43B3-BDB5-16313C8B6245}">
      <text>
        <r>
          <rPr>
            <b/>
            <sz val="9"/>
            <color indexed="81"/>
            <rFont val="Tahoma"/>
            <family val="2"/>
          </rPr>
          <t>Mark Benward:</t>
        </r>
        <r>
          <rPr>
            <sz val="9"/>
            <color indexed="81"/>
            <rFont val="Tahoma"/>
            <family val="2"/>
          </rPr>
          <t xml:space="preserve">
Balance to Bill</t>
        </r>
      </text>
    </comment>
    <comment ref="F30" authorId="0" shapeId="0" xr:uid="{BA2CB644-6D4D-46EC-AEA6-9B9D66CF17F4}">
      <text>
        <r>
          <rPr>
            <b/>
            <sz val="9"/>
            <color indexed="81"/>
            <rFont val="Tahoma"/>
            <family val="2"/>
          </rPr>
          <t>Mark Benward:</t>
        </r>
        <r>
          <rPr>
            <sz val="9"/>
            <color indexed="81"/>
            <rFont val="Tahoma"/>
            <family val="2"/>
          </rPr>
          <t xml:space="preserve">
Balance to Bill</t>
        </r>
      </text>
    </comment>
  </commentList>
</comments>
</file>

<file path=xl/sharedStrings.xml><?xml version="1.0" encoding="utf-8"?>
<sst xmlns="http://schemas.openxmlformats.org/spreadsheetml/2006/main" count="583" uniqueCount="40">
  <si>
    <t>cf</t>
  </si>
  <si>
    <t>Current Consumption</t>
  </si>
  <si>
    <t>0 - 700 cf</t>
  </si>
  <si>
    <t>701 - 12,000 cf</t>
  </si>
  <si>
    <t>0 - 300 cf</t>
  </si>
  <si>
    <t>301 - 1,500 cf</t>
  </si>
  <si>
    <t>1,501 - 5,000 cf</t>
  </si>
  <si>
    <t>over 5,000 cf</t>
  </si>
  <si>
    <t>0 - 12,000 cf</t>
  </si>
  <si>
    <t>12,001 - 120,000 cf</t>
  </si>
  <si>
    <t>over 120,001 cf</t>
  </si>
  <si>
    <t>301 - 800 cf</t>
  </si>
  <si>
    <t>over 801 cf</t>
  </si>
  <si>
    <t>0 - 1,500 cf</t>
  </si>
  <si>
    <t>1,501 - 3,500 cf</t>
  </si>
  <si>
    <t>over 3,501 cf</t>
  </si>
  <si>
    <t>0 - 20,000 cf</t>
  </si>
  <si>
    <t>20,001 - 95,000 cf</t>
  </si>
  <si>
    <t>95,001 - 130,000 cf</t>
  </si>
  <si>
    <t>over 130,001 cf</t>
  </si>
  <si>
    <t>Option A</t>
  </si>
  <si>
    <t>Option C</t>
  </si>
  <si>
    <t>Water</t>
  </si>
  <si>
    <t>1,2001 - 66,000 cf</t>
  </si>
  <si>
    <t>over 66,000 cf</t>
  </si>
  <si>
    <t>Base</t>
  </si>
  <si>
    <t>Flow</t>
  </si>
  <si>
    <t># of Rooms</t>
  </si>
  <si>
    <t>Base Total</t>
  </si>
  <si>
    <t>Sewer Total</t>
  </si>
  <si>
    <t>RV (per space)</t>
  </si>
  <si>
    <t># of Spaces</t>
  </si>
  <si>
    <t>Sewer A</t>
  </si>
  <si>
    <t>Sewer C</t>
  </si>
  <si>
    <t>MF (per unit)</t>
  </si>
  <si>
    <t># of Units</t>
  </si>
  <si>
    <t>Commercial A</t>
  </si>
  <si>
    <t>Hotel A (per room)</t>
  </si>
  <si>
    <t>Sewer 75%</t>
  </si>
  <si>
    <t>Option 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</si>
</sst>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mm\-yy"/>
    <numFmt numFmtId="165" formatCode="mmm\-yyyy"/>
  </numFmts>
  <fonts count="10" x14ac:knownFonts="1">
    <font>
      <sz val="10"/>
      <name val="Arial"/>
    </font>
    <font>
      <sz val="10"/>
      <name val="Arial"/>
      <family val="2"/>
    </font>
    <font>
      <sz val="10"/>
      <name val="Comic Sans MS"/>
      <family val="4"/>
    </font>
    <font>
      <b/>
      <sz val="10"/>
      <name val="Comic Sans MS"/>
      <family val="4"/>
    </font>
    <font>
      <u val="singleAccounting"/>
      <sz val="10"/>
      <name val="Comic Sans MS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44" fontId="2" fillId="0" borderId="0" xfId="1" applyFont="1"/>
    <xf numFmtId="44" fontId="4" fillId="0" borderId="0" xfId="1" applyFont="1"/>
    <xf numFmtId="44" fontId="3" fillId="0" borderId="0" xfId="1" applyFont="1"/>
    <xf numFmtId="49" fontId="2" fillId="0" borderId="0" xfId="0" applyNumberFormat="1" applyFont="1"/>
    <xf numFmtId="0" fontId="2" fillId="0" borderId="2" xfId="0" applyFont="1" applyBorder="1"/>
    <xf numFmtId="44" fontId="2" fillId="0" borderId="3" xfId="1" applyFont="1" applyBorder="1"/>
    <xf numFmtId="0" fontId="2" fillId="0" borderId="4" xfId="0" applyFont="1" applyBorder="1"/>
    <xf numFmtId="44" fontId="2" fillId="0" borderId="0" xfId="1" applyFont="1" applyBorder="1"/>
    <xf numFmtId="44" fontId="2" fillId="0" borderId="5" xfId="1" applyFont="1" applyBorder="1"/>
    <xf numFmtId="44" fontId="2" fillId="0" borderId="6" xfId="1" applyFont="1" applyBorder="1"/>
    <xf numFmtId="0" fontId="2" fillId="0" borderId="7" xfId="0" applyFont="1" applyBorder="1"/>
    <xf numFmtId="3" fontId="2" fillId="0" borderId="8" xfId="0" applyNumberFormat="1" applyFont="1" applyBorder="1"/>
    <xf numFmtId="0" fontId="2" fillId="0" borderId="8" xfId="0" applyFont="1" applyBorder="1"/>
    <xf numFmtId="44" fontId="2" fillId="0" borderId="9" xfId="1" applyFont="1" applyBorder="1"/>
    <xf numFmtId="0" fontId="3" fillId="0" borderId="1" xfId="0" applyFont="1" applyBorder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44" fontId="3" fillId="0" borderId="9" xfId="1" applyFont="1" applyBorder="1"/>
    <xf numFmtId="44" fontId="7" fillId="0" borderId="0" xfId="1" applyFont="1" applyAlignment="1">
      <alignment horizontal="left"/>
    </xf>
    <xf numFmtId="44" fontId="8" fillId="0" borderId="0" xfId="1" applyFont="1" applyBorder="1"/>
    <xf numFmtId="0" fontId="8" fillId="0" borderId="4" xfId="0" applyFont="1" applyBorder="1" applyAlignment="1">
      <alignment horizontal="left"/>
    </xf>
    <xf numFmtId="3" fontId="8" fillId="0" borderId="0" xfId="0" applyNumberFormat="1" applyFont="1"/>
    <xf numFmtId="44" fontId="3" fillId="0" borderId="0" xfId="1" applyFont="1" applyBorder="1"/>
    <xf numFmtId="44" fontId="2" fillId="0" borderId="0" xfId="0" applyNumberFormat="1" applyFont="1"/>
    <xf numFmtId="0" fontId="2" fillId="0" borderId="11" xfId="0" applyFont="1" applyBorder="1"/>
    <xf numFmtId="44" fontId="2" fillId="0" borderId="12" xfId="1" applyFont="1" applyBorder="1"/>
    <xf numFmtId="0" fontId="2" fillId="0" borderId="12" xfId="0" applyFont="1" applyBorder="1"/>
    <xf numFmtId="44" fontId="2" fillId="0" borderId="13" xfId="1" applyFont="1" applyBorder="1"/>
    <xf numFmtId="44" fontId="2" fillId="0" borderId="11" xfId="1" applyFont="1" applyBorder="1"/>
    <xf numFmtId="44" fontId="2" fillId="0" borderId="12" xfId="0" applyNumberFormat="1" applyFont="1" applyBorder="1"/>
    <xf numFmtId="44" fontId="3" fillId="0" borderId="14" xfId="0" applyNumberFormat="1" applyFont="1" applyBorder="1"/>
    <xf numFmtId="44" fontId="3" fillId="0" borderId="15" xfId="0" applyNumberFormat="1" applyFont="1" applyBorder="1"/>
    <xf numFmtId="0" fontId="7" fillId="0" borderId="10" xfId="0" applyFont="1" applyBorder="1" applyProtection="1">
      <protection locked="0"/>
    </xf>
    <xf numFmtId="1" fontId="7" fillId="0" borderId="12" xfId="1" applyNumberFormat="1" applyFont="1" applyBorder="1"/>
    <xf numFmtId="44" fontId="3" fillId="0" borderId="15" xfId="1" applyFont="1" applyBorder="1"/>
    <xf numFmtId="0" fontId="2" fillId="0" borderId="11" xfId="0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0" fontId="9" fillId="0" borderId="10" xfId="0" applyFont="1" applyBorder="1" applyProtection="1">
      <protection locked="0"/>
    </xf>
    <xf numFmtId="1" fontId="9" fillId="0" borderId="12" xfId="1" applyNumberFormat="1" applyFont="1" applyBorder="1"/>
    <xf numFmtId="0" fontId="9" fillId="0" borderId="0" xfId="0" applyFont="1" applyAlignment="1">
      <alignment horizontal="left"/>
    </xf>
    <xf numFmtId="165" fontId="9" fillId="0" borderId="10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" fontId="7" fillId="0" borderId="0" xfId="1" applyNumberFormat="1" applyFont="1" applyBorder="1"/>
    <xf numFmtId="44" fontId="3" fillId="0" borderId="0" xfId="0" applyNumberFormat="1" applyFont="1"/>
    <xf numFmtId="1" fontId="9" fillId="0" borderId="0" xfId="1" applyNumberFormat="1" applyFont="1" applyBorder="1"/>
    <xf numFmtId="44" fontId="3" fillId="0" borderId="0" xfId="1" applyFont="1" applyAlignment="1">
      <alignment horizontal="center"/>
    </xf>
    <xf numFmtId="0" fontId="3" fillId="0" borderId="10" xfId="0" applyFont="1" applyBorder="1" applyProtection="1">
      <protection locked="0"/>
    </xf>
    <xf numFmtId="165" fontId="9" fillId="0" borderId="10" xfId="0" applyNumberFormat="1" applyFont="1" applyBorder="1" applyProtection="1">
      <protection locked="0"/>
    </xf>
    <xf numFmtId="1" fontId="3" fillId="0" borderId="12" xfId="1" applyNumberFormat="1" applyFont="1" applyBorder="1"/>
    <xf numFmtId="44" fontId="3" fillId="0" borderId="3" xfId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2" borderId="1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zoomScale="80" zoomScaleNormal="80" workbookViewId="0">
      <selection activeCell="D3" sqref="D3"/>
    </sheetView>
  </sheetViews>
  <sheetFormatPr defaultRowHeight="15" x14ac:dyDescent="0.3"/>
  <cols>
    <col min="1" max="1" width="6.28515625" style="19" bestFit="1" customWidth="1"/>
    <col min="2" max="2" width="21.7109375" style="19" customWidth="1"/>
    <col min="3" max="3" width="14.7109375" style="1" customWidth="1"/>
    <col min="4" max="4" width="10.7109375" style="1" customWidth="1"/>
    <col min="5" max="5" width="14.7109375" style="1" customWidth="1"/>
    <col min="6" max="6" width="14.7109375" style="4" customWidth="1"/>
    <col min="7" max="7" width="3.7109375" style="1" customWidth="1"/>
    <col min="8" max="8" width="14.7109375" style="1" customWidth="1"/>
    <col min="9" max="9" width="3.7109375" style="1" customWidth="1"/>
    <col min="10" max="10" width="14.7109375" style="1" customWidth="1"/>
    <col min="11" max="11" width="3.7109375" style="1" customWidth="1"/>
    <col min="12" max="12" width="14.7109375" style="1" customWidth="1"/>
    <col min="13" max="16384" width="9.140625" style="1"/>
  </cols>
  <sheetData>
    <row r="1" spans="1:12" ht="15" customHeight="1" thickBot="1" x14ac:dyDescent="0.4">
      <c r="B1" s="23"/>
      <c r="D1" s="2"/>
    </row>
    <row r="2" spans="1:12" ht="17.25" thickBot="1" x14ac:dyDescent="0.4">
      <c r="A2" s="46">
        <v>2024</v>
      </c>
      <c r="B2" s="20" t="s">
        <v>1</v>
      </c>
      <c r="C2" s="47" t="s">
        <v>20</v>
      </c>
      <c r="D2" s="39">
        <v>5100</v>
      </c>
      <c r="E2" s="8" t="s">
        <v>0</v>
      </c>
      <c r="F2" s="56" t="s">
        <v>22</v>
      </c>
      <c r="H2" s="57" t="s">
        <v>32</v>
      </c>
      <c r="J2" s="57" t="s">
        <v>33</v>
      </c>
      <c r="L2" s="57" t="s">
        <v>38</v>
      </c>
    </row>
    <row r="3" spans="1:12" x14ac:dyDescent="0.3">
      <c r="B3" s="21" t="s">
        <v>4</v>
      </c>
      <c r="C3" s="2">
        <f>IF(D2&gt;300,300,D2)</f>
        <v>300</v>
      </c>
      <c r="D3" s="1" t="s">
        <v>0</v>
      </c>
      <c r="E3" s="11">
        <v>0</v>
      </c>
      <c r="F3" s="12">
        <f>SUM(C3*E3/100)</f>
        <v>0</v>
      </c>
      <c r="H3" s="58"/>
      <c r="J3" s="58"/>
      <c r="L3" s="58"/>
    </row>
    <row r="4" spans="1:12" x14ac:dyDescent="0.3">
      <c r="B4" s="21" t="s">
        <v>5</v>
      </c>
      <c r="C4" s="2">
        <f>IF(SUM(D2-C3)&gt;1200,1200,SUM(D2-C3))</f>
        <v>1200</v>
      </c>
      <c r="D4" s="1" t="s">
        <v>0</v>
      </c>
      <c r="E4" s="11">
        <v>1.95</v>
      </c>
      <c r="F4" s="12">
        <f>SUM(C4*E4/100)</f>
        <v>23.4</v>
      </c>
      <c r="H4" s="58"/>
      <c r="J4" s="58"/>
      <c r="L4" s="58"/>
    </row>
    <row r="5" spans="1:12" x14ac:dyDescent="0.3">
      <c r="B5" s="21" t="s">
        <v>6</v>
      </c>
      <c r="C5" s="2">
        <f>IF(SUM(D2-C3-C4)&gt;3500,3500,SUM(D2-C3-C4))</f>
        <v>3500</v>
      </c>
      <c r="D5" s="1" t="s">
        <v>0</v>
      </c>
      <c r="E5" s="11">
        <v>2.44</v>
      </c>
      <c r="F5" s="12">
        <f>SUM(C5*E5/100)</f>
        <v>85.4</v>
      </c>
      <c r="H5" s="58"/>
      <c r="J5" s="58"/>
      <c r="L5" s="58"/>
    </row>
    <row r="6" spans="1:12" x14ac:dyDescent="0.3">
      <c r="B6" s="21" t="s">
        <v>7</v>
      </c>
      <c r="C6" s="2">
        <f>IF(SUM(D2-C3-C4-C5)&lt;4000,SUM(D2-C3-C4-C5),SUM(D2-C3-C4-C5))</f>
        <v>100</v>
      </c>
      <c r="D6" s="1" t="s">
        <v>0</v>
      </c>
      <c r="E6" s="11">
        <v>3.29</v>
      </c>
      <c r="F6" s="13">
        <f>SUM(C6*E6/100)</f>
        <v>3.29</v>
      </c>
      <c r="H6" s="58"/>
      <c r="J6" s="58"/>
      <c r="L6" s="58"/>
    </row>
    <row r="7" spans="1:12" ht="17.25" thickBot="1" x14ac:dyDescent="0.4">
      <c r="B7" s="22"/>
      <c r="C7" s="15"/>
      <c r="D7" s="16"/>
      <c r="E7" s="16"/>
      <c r="F7" s="24">
        <f>SUM(F3:F6)</f>
        <v>112.09000000000002</v>
      </c>
      <c r="H7" s="41">
        <v>52.14</v>
      </c>
      <c r="I7" s="29"/>
      <c r="J7" s="41">
        <v>52.14</v>
      </c>
      <c r="L7" s="41">
        <v>52.14</v>
      </c>
    </row>
    <row r="8" spans="1:12" ht="3" customHeight="1" thickBot="1" x14ac:dyDescent="0.4">
      <c r="B8" s="23"/>
    </row>
    <row r="9" spans="1:12" ht="17.25" thickBot="1" x14ac:dyDescent="0.4">
      <c r="A9" s="46">
        <v>2025</v>
      </c>
      <c r="B9" s="20" t="s">
        <v>1</v>
      </c>
      <c r="C9" s="47" t="s">
        <v>20</v>
      </c>
      <c r="D9" s="53">
        <f>D2</f>
        <v>5100</v>
      </c>
      <c r="E9" s="8" t="s">
        <v>0</v>
      </c>
      <c r="F9" s="56" t="s">
        <v>22</v>
      </c>
      <c r="H9" s="57" t="s">
        <v>32</v>
      </c>
      <c r="J9" s="57" t="s">
        <v>33</v>
      </c>
      <c r="L9" s="57" t="s">
        <v>38</v>
      </c>
    </row>
    <row r="10" spans="1:12" x14ac:dyDescent="0.3">
      <c r="B10" s="21" t="s">
        <v>4</v>
      </c>
      <c r="C10" s="2">
        <f>IF(D9&gt;300,300,D9)</f>
        <v>300</v>
      </c>
      <c r="D10" s="1" t="s">
        <v>0</v>
      </c>
      <c r="E10" s="11">
        <v>0</v>
      </c>
      <c r="F10" s="12">
        <f>SUM(C10*E10/100)</f>
        <v>0</v>
      </c>
      <c r="H10" s="58"/>
      <c r="J10" s="58"/>
      <c r="L10" s="58"/>
    </row>
    <row r="11" spans="1:12" x14ac:dyDescent="0.3">
      <c r="B11" s="21" t="s">
        <v>5</v>
      </c>
      <c r="C11" s="2">
        <f>IF(SUM(D9-C10)&gt;1200,1200,SUM(D9-C10))</f>
        <v>1200</v>
      </c>
      <c r="D11" s="1" t="s">
        <v>0</v>
      </c>
      <c r="E11" s="11">
        <v>2</v>
      </c>
      <c r="F11" s="12">
        <f>SUM(C11*E11/100)</f>
        <v>24</v>
      </c>
      <c r="H11" s="58"/>
      <c r="J11" s="58"/>
      <c r="L11" s="58"/>
    </row>
    <row r="12" spans="1:12" x14ac:dyDescent="0.3">
      <c r="B12" s="21" t="s">
        <v>6</v>
      </c>
      <c r="C12" s="2">
        <f>IF(SUM(D9-C10-C11)&gt;3500,3500,SUM(D9-C10-C11))</f>
        <v>3500</v>
      </c>
      <c r="D12" s="1" t="s">
        <v>0</v>
      </c>
      <c r="E12" s="11">
        <v>2.5</v>
      </c>
      <c r="F12" s="12">
        <f>SUM(C12*E12/100)</f>
        <v>87.5</v>
      </c>
      <c r="H12" s="58"/>
      <c r="J12" s="58"/>
      <c r="L12" s="58"/>
    </row>
    <row r="13" spans="1:12" x14ac:dyDescent="0.3">
      <c r="B13" s="21" t="s">
        <v>7</v>
      </c>
      <c r="C13" s="2">
        <f>IF(SUM(D9-C10-C11-C12)&lt;4000,SUM(D9-C10-C11-C12),SUM(D9-C10-C11-C12))</f>
        <v>100</v>
      </c>
      <c r="D13" s="1" t="s">
        <v>0</v>
      </c>
      <c r="E13" s="11">
        <v>3.38</v>
      </c>
      <c r="F13" s="13">
        <f>SUM(C13*E13/100)</f>
        <v>3.38</v>
      </c>
      <c r="H13" s="58"/>
      <c r="J13" s="58"/>
      <c r="L13" s="58"/>
    </row>
    <row r="14" spans="1:12" ht="17.25" thickBot="1" x14ac:dyDescent="0.4">
      <c r="B14" s="22"/>
      <c r="C14" s="15"/>
      <c r="D14" s="16"/>
      <c r="E14" s="16"/>
      <c r="F14" s="24">
        <f>SUM(F10:F13)</f>
        <v>114.88</v>
      </c>
      <c r="H14" s="41">
        <v>52.14</v>
      </c>
      <c r="I14" s="29"/>
      <c r="J14" s="41">
        <v>53.62</v>
      </c>
      <c r="L14" s="41">
        <v>52.96</v>
      </c>
    </row>
    <row r="15" spans="1:12" ht="3" customHeight="1" thickBot="1" x14ac:dyDescent="0.4">
      <c r="B15" s="23"/>
      <c r="C15" s="7"/>
      <c r="E15" s="4"/>
    </row>
    <row r="16" spans="1:12" ht="17.25" thickBot="1" x14ac:dyDescent="0.4">
      <c r="A16" s="46">
        <v>2026</v>
      </c>
      <c r="B16" s="20" t="s">
        <v>1</v>
      </c>
      <c r="C16" s="47" t="s">
        <v>20</v>
      </c>
      <c r="D16" s="53">
        <f>D2</f>
        <v>5100</v>
      </c>
      <c r="E16" s="8" t="s">
        <v>0</v>
      </c>
      <c r="F16" s="56" t="s">
        <v>22</v>
      </c>
      <c r="H16" s="57" t="s">
        <v>32</v>
      </c>
      <c r="J16" s="57" t="s">
        <v>33</v>
      </c>
      <c r="L16" s="57" t="s">
        <v>38</v>
      </c>
    </row>
    <row r="17" spans="1:12" x14ac:dyDescent="0.3">
      <c r="B17" s="21" t="s">
        <v>4</v>
      </c>
      <c r="C17" s="2">
        <f>IF(D16&gt;300,300,D16)</f>
        <v>300</v>
      </c>
      <c r="D17" s="1" t="s">
        <v>0</v>
      </c>
      <c r="E17" s="11">
        <v>0</v>
      </c>
      <c r="F17" s="12">
        <f>SUM(C17*E17/100)</f>
        <v>0</v>
      </c>
      <c r="H17" s="58"/>
      <c r="J17" s="58"/>
      <c r="L17" s="58"/>
    </row>
    <row r="18" spans="1:12" x14ac:dyDescent="0.3">
      <c r="B18" s="21" t="s">
        <v>5</v>
      </c>
      <c r="C18" s="2">
        <f>IF(SUM(D16-C17)&gt;1200,1200,SUM(D16-C17))</f>
        <v>1200</v>
      </c>
      <c r="D18" s="1" t="s">
        <v>0</v>
      </c>
      <c r="E18" s="11">
        <v>2.2200000000000002</v>
      </c>
      <c r="F18" s="12">
        <f>SUM(C18*E18/100)</f>
        <v>26.640000000000004</v>
      </c>
      <c r="H18" s="58"/>
      <c r="J18" s="58"/>
      <c r="L18" s="58"/>
    </row>
    <row r="19" spans="1:12" x14ac:dyDescent="0.3">
      <c r="B19" s="21" t="s">
        <v>6</v>
      </c>
      <c r="C19" s="2">
        <f>IF(SUM(D16-C17-C18)&gt;3500,3500,SUM(D16-C17-C18))</f>
        <v>3500</v>
      </c>
      <c r="D19" s="1" t="s">
        <v>0</v>
      </c>
      <c r="E19" s="11">
        <v>2.78</v>
      </c>
      <c r="F19" s="12">
        <f>SUM(C19*E19/100)</f>
        <v>97.3</v>
      </c>
      <c r="H19" s="58"/>
      <c r="J19" s="58"/>
      <c r="L19" s="58"/>
    </row>
    <row r="20" spans="1:12" x14ac:dyDescent="0.3">
      <c r="B20" s="21" t="s">
        <v>7</v>
      </c>
      <c r="C20" s="2">
        <f>IF(SUM(D16-C17-C18-C19)&lt;4000,SUM(D16-C17-C18-C19),SUM(D16-C17-C18-C19))</f>
        <v>100</v>
      </c>
      <c r="D20" s="1" t="s">
        <v>0</v>
      </c>
      <c r="E20" s="11">
        <v>3.75</v>
      </c>
      <c r="F20" s="13">
        <f>SUM(C20*E20/100)</f>
        <v>3.75</v>
      </c>
      <c r="H20" s="58"/>
      <c r="J20" s="58"/>
      <c r="L20" s="58"/>
    </row>
    <row r="21" spans="1:12" ht="17.25" thickBot="1" x14ac:dyDescent="0.4">
      <c r="B21" s="22"/>
      <c r="C21" s="15"/>
      <c r="D21" s="16"/>
      <c r="E21" s="16"/>
      <c r="F21" s="24">
        <f>SUM(F17:F20)</f>
        <v>127.69</v>
      </c>
      <c r="H21" s="41">
        <v>52.67</v>
      </c>
      <c r="I21" s="29"/>
      <c r="J21" s="41">
        <v>56.01</v>
      </c>
      <c r="L21" s="41">
        <v>57.15</v>
      </c>
    </row>
    <row r="22" spans="1:12" ht="3" customHeight="1" thickBot="1" x14ac:dyDescent="0.4">
      <c r="B22" s="23"/>
      <c r="C22" s="2"/>
      <c r="E22" s="4"/>
    </row>
    <row r="23" spans="1:12" ht="17.25" thickBot="1" x14ac:dyDescent="0.4">
      <c r="A23" s="46">
        <v>2027</v>
      </c>
      <c r="B23" s="20" t="s">
        <v>1</v>
      </c>
      <c r="C23" s="47" t="s">
        <v>20</v>
      </c>
      <c r="D23" s="53">
        <f>D2</f>
        <v>5100</v>
      </c>
      <c r="E23" s="8" t="s">
        <v>0</v>
      </c>
      <c r="F23" s="56" t="s">
        <v>22</v>
      </c>
      <c r="H23" s="57" t="s">
        <v>32</v>
      </c>
      <c r="J23" s="57" t="s">
        <v>33</v>
      </c>
      <c r="L23" s="57" t="s">
        <v>38</v>
      </c>
    </row>
    <row r="24" spans="1:12" x14ac:dyDescent="0.3">
      <c r="B24" s="21" t="s">
        <v>4</v>
      </c>
      <c r="C24" s="2">
        <f>IF(D23&gt;300,300,D23)</f>
        <v>300</v>
      </c>
      <c r="D24" s="1" t="s">
        <v>0</v>
      </c>
      <c r="E24" s="11">
        <v>0</v>
      </c>
      <c r="F24" s="12">
        <f>SUM(C24*E24/100)</f>
        <v>0</v>
      </c>
      <c r="H24" s="58"/>
      <c r="J24" s="58"/>
      <c r="L24" s="58"/>
    </row>
    <row r="25" spans="1:12" x14ac:dyDescent="0.3">
      <c r="B25" s="21" t="s">
        <v>5</v>
      </c>
      <c r="C25" s="2">
        <f>IF(SUM(D23-C24)&gt;1200,1200,SUM(D23-C24))</f>
        <v>1200</v>
      </c>
      <c r="D25" s="1" t="s">
        <v>0</v>
      </c>
      <c r="E25" s="11">
        <v>2.4900000000000002</v>
      </c>
      <c r="F25" s="12">
        <f>SUM(C25*E25/100)</f>
        <v>29.880000000000006</v>
      </c>
      <c r="H25" s="58"/>
      <c r="J25" s="58"/>
      <c r="L25" s="58"/>
    </row>
    <row r="26" spans="1:12" x14ac:dyDescent="0.3">
      <c r="B26" s="21" t="s">
        <v>6</v>
      </c>
      <c r="C26" s="2">
        <f>IF(SUM(D23-C24-C25)&gt;3500,3500,SUM(D23-C24-C25))</f>
        <v>3500</v>
      </c>
      <c r="D26" s="1" t="s">
        <v>0</v>
      </c>
      <c r="E26" s="11">
        <v>3.11</v>
      </c>
      <c r="F26" s="12">
        <f>SUM(C26*E26/100)</f>
        <v>108.85</v>
      </c>
      <c r="H26" s="58"/>
      <c r="J26" s="58"/>
      <c r="L26" s="58"/>
    </row>
    <row r="27" spans="1:12" x14ac:dyDescent="0.3">
      <c r="B27" s="21" t="s">
        <v>7</v>
      </c>
      <c r="C27" s="2">
        <f>IF(SUM(D23-C24-C25-C26)&lt;4000,SUM(D23-C24-C25-C26),SUM(D23-C24-C25-C26))</f>
        <v>100</v>
      </c>
      <c r="D27" s="1" t="s">
        <v>0</v>
      </c>
      <c r="E27" s="11">
        <v>4.2</v>
      </c>
      <c r="F27" s="13">
        <f>SUM(C27*E27/100)</f>
        <v>4.2</v>
      </c>
      <c r="H27" s="58"/>
      <c r="J27" s="58"/>
      <c r="L27" s="58"/>
    </row>
    <row r="28" spans="1:12" ht="17.25" thickBot="1" x14ac:dyDescent="0.4">
      <c r="B28" s="22"/>
      <c r="C28" s="15"/>
      <c r="D28" s="16"/>
      <c r="E28" s="16"/>
      <c r="F28" s="24">
        <f>SUM(F24:F27)</f>
        <v>142.92999999999998</v>
      </c>
      <c r="H28" s="41">
        <v>55.24</v>
      </c>
      <c r="I28" s="29"/>
      <c r="J28" s="41">
        <v>58.46</v>
      </c>
      <c r="L28" s="41">
        <v>59.88</v>
      </c>
    </row>
    <row r="29" spans="1:12" ht="3" customHeight="1" thickBot="1" x14ac:dyDescent="0.5">
      <c r="B29" s="23"/>
      <c r="F29" s="5"/>
    </row>
    <row r="30" spans="1:12" ht="17.25" thickBot="1" x14ac:dyDescent="0.4">
      <c r="A30" s="46">
        <v>2028</v>
      </c>
      <c r="B30" s="20" t="s">
        <v>1</v>
      </c>
      <c r="C30" s="47" t="s">
        <v>20</v>
      </c>
      <c r="D30" s="53">
        <f>D2</f>
        <v>5100</v>
      </c>
      <c r="E30" s="8" t="s">
        <v>0</v>
      </c>
      <c r="F30" s="56" t="s">
        <v>22</v>
      </c>
      <c r="H30" s="57" t="s">
        <v>32</v>
      </c>
      <c r="J30" s="57" t="s">
        <v>33</v>
      </c>
      <c r="L30" s="57" t="s">
        <v>38</v>
      </c>
    </row>
    <row r="31" spans="1:12" x14ac:dyDescent="0.3">
      <c r="B31" s="21" t="s">
        <v>4</v>
      </c>
      <c r="C31" s="2">
        <f>IF(D30&gt;300,300,D30)</f>
        <v>300</v>
      </c>
      <c r="D31" s="1" t="s">
        <v>0</v>
      </c>
      <c r="E31" s="11">
        <v>0</v>
      </c>
      <c r="F31" s="12">
        <f>SUM(C31*E31/100)</f>
        <v>0</v>
      </c>
      <c r="H31" s="58"/>
      <c r="J31" s="58"/>
      <c r="L31" s="58"/>
    </row>
    <row r="32" spans="1:12" x14ac:dyDescent="0.3">
      <c r="B32" s="21" t="s">
        <v>5</v>
      </c>
      <c r="C32" s="2">
        <f>IF(SUM(D30-C31)&gt;1200,1200,SUM(D30-C31))</f>
        <v>1200</v>
      </c>
      <c r="D32" s="1" t="s">
        <v>0</v>
      </c>
      <c r="E32" s="11">
        <v>2.9</v>
      </c>
      <c r="F32" s="12">
        <f>SUM(C32*E32/100)</f>
        <v>34.799999999999997</v>
      </c>
      <c r="H32" s="58"/>
      <c r="J32" s="58"/>
      <c r="L32" s="58"/>
    </row>
    <row r="33" spans="2:12" x14ac:dyDescent="0.3">
      <c r="B33" s="21" t="s">
        <v>6</v>
      </c>
      <c r="C33" s="2">
        <f>IF(SUM(D30-C31-C32)&gt;3500,3500,SUM(D30-C31-C32))</f>
        <v>3500</v>
      </c>
      <c r="D33" s="1" t="s">
        <v>0</v>
      </c>
      <c r="E33" s="11">
        <v>3.63</v>
      </c>
      <c r="F33" s="12">
        <f>SUM(C33*E33/100)</f>
        <v>127.05</v>
      </c>
      <c r="H33" s="58"/>
      <c r="J33" s="58"/>
      <c r="L33" s="58"/>
    </row>
    <row r="34" spans="2:12" x14ac:dyDescent="0.3">
      <c r="B34" s="21" t="s">
        <v>7</v>
      </c>
      <c r="C34" s="2">
        <f>IF(SUM(D30-C31-C32-C33)&lt;4000,SUM(D30-C31-C32-C33),SUM(D30-C31-C32-C33))</f>
        <v>100</v>
      </c>
      <c r="D34" s="1" t="s">
        <v>0</v>
      </c>
      <c r="E34" s="11">
        <v>4.8899999999999997</v>
      </c>
      <c r="F34" s="13">
        <f>SUM(C34*E34/100)</f>
        <v>4.8899999999999997</v>
      </c>
      <c r="H34" s="58"/>
      <c r="J34" s="58"/>
      <c r="L34" s="58"/>
    </row>
    <row r="35" spans="2:12" ht="17.25" thickBot="1" x14ac:dyDescent="0.4">
      <c r="B35" s="22"/>
      <c r="C35" s="15"/>
      <c r="D35" s="16"/>
      <c r="E35" s="16"/>
      <c r="F35" s="24">
        <f>SUM(F31:F34)</f>
        <v>166.73999999999998</v>
      </c>
      <c r="H35" s="41">
        <v>56.86</v>
      </c>
      <c r="I35" s="29"/>
      <c r="J35" s="41">
        <v>59.61</v>
      </c>
      <c r="L35" s="41">
        <v>62.16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35"/>
  <sheetViews>
    <sheetView zoomScale="80" zoomScaleNormal="80" workbookViewId="0">
      <selection activeCell="D2" sqref="D2"/>
    </sheetView>
  </sheetViews>
  <sheetFormatPr defaultRowHeight="15" x14ac:dyDescent="0.3"/>
  <cols>
    <col min="1" max="1" width="6.28515625" style="19" bestFit="1" customWidth="1"/>
    <col min="2" max="2" width="21.28515625" style="19" bestFit="1" customWidth="1"/>
    <col min="3" max="5" width="10.7109375" style="1" customWidth="1"/>
    <col min="6" max="6" width="14.7109375" style="4" customWidth="1"/>
    <col min="7" max="7" width="2.28515625" style="4" customWidth="1"/>
    <col min="8" max="8" width="12.28515625" style="4" bestFit="1" customWidth="1"/>
    <col min="9" max="9" width="14.7109375" style="4" customWidth="1"/>
    <col min="10" max="10" width="2.28515625" style="4" customWidth="1"/>
    <col min="11" max="11" width="14.7109375" style="4" customWidth="1"/>
    <col min="12" max="12" width="2.28515625" style="4" customWidth="1"/>
    <col min="13" max="13" width="14.7109375" style="4" customWidth="1"/>
    <col min="14" max="14" width="2.28515625" style="1" customWidth="1"/>
    <col min="15" max="15" width="21.7109375" style="1" customWidth="1"/>
    <col min="16" max="18" width="10.7109375" style="1" customWidth="1"/>
    <col min="19" max="19" width="14.7109375" style="1" customWidth="1"/>
    <col min="20" max="20" width="2.28515625" style="1" customWidth="1"/>
    <col min="21" max="21" width="12.28515625" style="1" bestFit="1" customWidth="1"/>
    <col min="22" max="22" width="14.7109375" style="4" customWidth="1"/>
    <col min="23" max="23" width="2.28515625" style="4" customWidth="1"/>
    <col min="24" max="24" width="14.7109375" style="4" customWidth="1"/>
    <col min="25" max="25" width="2.28515625" style="4" customWidth="1"/>
    <col min="26" max="26" width="14.7109375" style="4" customWidth="1"/>
    <col min="27" max="16384" width="9.140625" style="1"/>
  </cols>
  <sheetData>
    <row r="1" spans="1:26" ht="16.5" customHeight="1" thickBot="1" x14ac:dyDescent="0.4">
      <c r="B1" s="23"/>
      <c r="D1" s="2"/>
      <c r="I1" s="52" t="s">
        <v>20</v>
      </c>
      <c r="J1" s="52"/>
      <c r="K1" s="52" t="s">
        <v>39</v>
      </c>
      <c r="L1" s="52"/>
      <c r="M1" s="52" t="s">
        <v>21</v>
      </c>
      <c r="O1" s="23"/>
      <c r="Q1" s="2"/>
      <c r="S1" s="4"/>
      <c r="V1" s="52" t="s">
        <v>20</v>
      </c>
      <c r="W1" s="52"/>
      <c r="X1" s="52" t="s">
        <v>39</v>
      </c>
      <c r="Y1" s="52"/>
      <c r="Z1" s="52" t="s">
        <v>21</v>
      </c>
    </row>
    <row r="2" spans="1:26" ht="17.25" thickBot="1" x14ac:dyDescent="0.4">
      <c r="A2" s="46">
        <v>2024</v>
      </c>
      <c r="B2" s="20" t="s">
        <v>1</v>
      </c>
      <c r="C2" s="47" t="s">
        <v>20</v>
      </c>
      <c r="D2" s="39">
        <v>51300</v>
      </c>
      <c r="E2" s="8" t="s">
        <v>0</v>
      </c>
      <c r="F2" s="43" t="s">
        <v>22</v>
      </c>
      <c r="G2" s="11"/>
      <c r="H2" s="1"/>
      <c r="I2" s="42" t="s">
        <v>34</v>
      </c>
      <c r="J2" s="48"/>
      <c r="K2" s="42" t="s">
        <v>34</v>
      </c>
      <c r="L2" s="48"/>
      <c r="M2" s="42" t="s">
        <v>34</v>
      </c>
      <c r="O2" s="20" t="s">
        <v>1</v>
      </c>
      <c r="P2" s="47" t="s">
        <v>21</v>
      </c>
      <c r="Q2" s="44">
        <f>D2</f>
        <v>51300</v>
      </c>
      <c r="R2" s="8" t="s">
        <v>0</v>
      </c>
      <c r="S2" s="9" t="s">
        <v>22</v>
      </c>
      <c r="V2" s="42" t="s">
        <v>34</v>
      </c>
      <c r="W2" s="48"/>
      <c r="X2" s="42" t="s">
        <v>34</v>
      </c>
      <c r="Y2" s="48"/>
      <c r="Z2" s="42" t="s">
        <v>34</v>
      </c>
    </row>
    <row r="3" spans="1:26" x14ac:dyDescent="0.3">
      <c r="B3" s="21" t="s">
        <v>2</v>
      </c>
      <c r="C3" s="2">
        <f>IF(D2&gt;700,700,D2)</f>
        <v>700</v>
      </c>
      <c r="D3" s="1" t="s">
        <v>0</v>
      </c>
      <c r="E3" s="11">
        <v>1.47</v>
      </c>
      <c r="F3" s="12">
        <f>SUM(C3*E3/100)</f>
        <v>10.29</v>
      </c>
      <c r="G3" s="11"/>
      <c r="H3" s="1" t="s">
        <v>25</v>
      </c>
      <c r="I3" s="32">
        <v>52.14</v>
      </c>
      <c r="J3" s="11"/>
      <c r="K3" s="32">
        <v>39.11</v>
      </c>
      <c r="L3" s="11"/>
      <c r="M3" s="32">
        <v>28</v>
      </c>
      <c r="O3" s="21" t="s">
        <v>2</v>
      </c>
      <c r="P3" s="2">
        <f>IF(Q2&gt;700,700,Q2)</f>
        <v>700</v>
      </c>
      <c r="Q3" s="1" t="s">
        <v>0</v>
      </c>
      <c r="R3" s="26">
        <v>1.47</v>
      </c>
      <c r="S3" s="12">
        <f>SUM(P3*R3/100)</f>
        <v>10.29</v>
      </c>
      <c r="U3" s="1" t="s">
        <v>25</v>
      </c>
      <c r="V3" s="32">
        <v>52.14</v>
      </c>
      <c r="W3" s="11"/>
      <c r="X3" s="32">
        <v>39.11</v>
      </c>
      <c r="Y3" s="11"/>
      <c r="Z3" s="32">
        <v>28</v>
      </c>
    </row>
    <row r="4" spans="1:26" ht="16.5" x14ac:dyDescent="0.35">
      <c r="B4" s="21" t="s">
        <v>3</v>
      </c>
      <c r="C4" s="2">
        <f>IF(SUM(D2-C3)&gt;11300,11300,SUM(D2-C3))</f>
        <v>11300</v>
      </c>
      <c r="D4" s="1" t="s">
        <v>0</v>
      </c>
      <c r="E4" s="11">
        <v>1.84</v>
      </c>
      <c r="F4" s="12">
        <f>SUM(C4*E4/100)</f>
        <v>207.92</v>
      </c>
      <c r="G4" s="11"/>
      <c r="H4" s="1" t="s">
        <v>35</v>
      </c>
      <c r="I4" s="40">
        <v>46</v>
      </c>
      <c r="J4" s="49"/>
      <c r="K4" s="45">
        <f>I4</f>
        <v>46</v>
      </c>
      <c r="L4" s="49"/>
      <c r="M4" s="45">
        <f>I4</f>
        <v>46</v>
      </c>
      <c r="O4" s="21" t="s">
        <v>3</v>
      </c>
      <c r="P4" s="2">
        <f>IF(SUM(Q2-P3)&gt;11300,11300,SUM(Q2-P3))</f>
        <v>11300</v>
      </c>
      <c r="Q4" s="1" t="s">
        <v>0</v>
      </c>
      <c r="R4" s="26">
        <v>1.84</v>
      </c>
      <c r="S4" s="12">
        <f>SUM(P4*R4/100)</f>
        <v>207.92</v>
      </c>
      <c r="U4" s="1" t="s">
        <v>35</v>
      </c>
      <c r="V4" s="45">
        <f>I4</f>
        <v>46</v>
      </c>
      <c r="W4" s="49"/>
      <c r="X4" s="45">
        <f>V4</f>
        <v>46</v>
      </c>
      <c r="Y4" s="49"/>
      <c r="Z4" s="45">
        <f>I4</f>
        <v>46</v>
      </c>
    </row>
    <row r="5" spans="1:26" x14ac:dyDescent="0.3">
      <c r="B5" s="21" t="s">
        <v>23</v>
      </c>
      <c r="C5" s="2">
        <f>IF(SUM(D2-C3-C4)&gt;54000,54000,SUM(D2-C3-C4))</f>
        <v>39300</v>
      </c>
      <c r="D5" s="1" t="s">
        <v>0</v>
      </c>
      <c r="E5" s="11">
        <v>2.2999999999999998</v>
      </c>
      <c r="F5" s="12">
        <f>SUM(C5*E5/100)</f>
        <v>903.9</v>
      </c>
      <c r="G5" s="11"/>
      <c r="H5" s="1"/>
      <c r="I5" s="36"/>
      <c r="J5" s="30"/>
      <c r="K5" s="36"/>
      <c r="L5" s="30"/>
      <c r="M5" s="36"/>
      <c r="O5" s="21" t="s">
        <v>23</v>
      </c>
      <c r="P5" s="2">
        <f>IF(SUM(Q2-P3-P4)&gt;54000,54000,SUM(Q2-P3-P4))</f>
        <v>39300</v>
      </c>
      <c r="Q5" s="1" t="s">
        <v>0</v>
      </c>
      <c r="R5" s="26">
        <v>2.2999999999999998</v>
      </c>
      <c r="S5" s="12">
        <f>SUM(P5*R5/100)</f>
        <v>903.9</v>
      </c>
      <c r="V5" s="36"/>
      <c r="W5" s="30"/>
      <c r="X5" s="36"/>
      <c r="Y5" s="30"/>
      <c r="Z5" s="36"/>
    </row>
    <row r="6" spans="1:26" x14ac:dyDescent="0.3">
      <c r="B6" s="21" t="s">
        <v>24</v>
      </c>
      <c r="C6" s="2">
        <f>IF(SUM(D2-C3-C4-C5)&lt;4000,SUM(D2-C3-C4-C5),SUM(D2-C3-C4-C5))</f>
        <v>0</v>
      </c>
      <c r="D6" s="1" t="s">
        <v>0</v>
      </c>
      <c r="E6" s="11">
        <v>2.88</v>
      </c>
      <c r="F6" s="13">
        <f>SUM(C6*E6/100)</f>
        <v>0</v>
      </c>
      <c r="G6" s="11"/>
      <c r="H6" s="1"/>
      <c r="I6" s="32"/>
      <c r="J6" s="11"/>
      <c r="K6" s="32"/>
      <c r="L6" s="11"/>
      <c r="M6" s="32"/>
      <c r="O6" s="21" t="s">
        <v>24</v>
      </c>
      <c r="P6" s="2">
        <f>IF(SUM(Q2-P3-P4-P5)&lt;4000,SUM(Q2-P3-P4-P5),SUM(Q2-P3-P4-P5))</f>
        <v>0</v>
      </c>
      <c r="Q6" s="1" t="s">
        <v>0</v>
      </c>
      <c r="R6" s="26">
        <v>2.88</v>
      </c>
      <c r="S6" s="13">
        <f>SUM(P6*R6/100)</f>
        <v>0</v>
      </c>
      <c r="V6" s="32"/>
      <c r="W6" s="11"/>
      <c r="X6" s="32"/>
      <c r="Y6" s="11"/>
      <c r="Z6" s="32"/>
    </row>
    <row r="7" spans="1:26" ht="17.25" thickBot="1" x14ac:dyDescent="0.4">
      <c r="B7" s="22"/>
      <c r="C7" s="15"/>
      <c r="D7" s="16"/>
      <c r="E7" s="16"/>
      <c r="F7" s="24">
        <f>SUM(F3:F6)</f>
        <v>1122.1099999999999</v>
      </c>
      <c r="G7" s="29"/>
      <c r="H7" s="1" t="s">
        <v>29</v>
      </c>
      <c r="I7" s="38">
        <f>I3*I4</f>
        <v>2398.44</v>
      </c>
      <c r="J7" s="50"/>
      <c r="K7" s="38">
        <f>K3*K4</f>
        <v>1799.06</v>
      </c>
      <c r="L7" s="50"/>
      <c r="M7" s="38">
        <f>M3*M4</f>
        <v>1288</v>
      </c>
      <c r="O7" s="22"/>
      <c r="P7" s="15"/>
      <c r="Q7" s="16"/>
      <c r="R7" s="16"/>
      <c r="S7" s="24">
        <f>SUM(S3:S6)</f>
        <v>1122.1099999999999</v>
      </c>
      <c r="U7" s="1" t="s">
        <v>29</v>
      </c>
      <c r="V7" s="38">
        <f>V3*V4</f>
        <v>2398.44</v>
      </c>
      <c r="W7" s="50"/>
      <c r="X7" s="38">
        <f>X3*X4</f>
        <v>1799.06</v>
      </c>
      <c r="Y7" s="50"/>
      <c r="Z7" s="38">
        <f>Z3*Z4</f>
        <v>1288</v>
      </c>
    </row>
    <row r="8" spans="1:26" ht="3" customHeight="1" thickBot="1" x14ac:dyDescent="0.4">
      <c r="B8" s="23"/>
      <c r="O8" s="23"/>
      <c r="S8" s="4"/>
      <c r="U8" s="4"/>
    </row>
    <row r="9" spans="1:26" ht="17.25" thickBot="1" x14ac:dyDescent="0.4">
      <c r="A9" s="46">
        <v>2025</v>
      </c>
      <c r="B9" s="20" t="s">
        <v>1</v>
      </c>
      <c r="C9" s="47" t="s">
        <v>20</v>
      </c>
      <c r="D9" s="44">
        <f>D2</f>
        <v>51300</v>
      </c>
      <c r="E9" s="8" t="s">
        <v>0</v>
      </c>
      <c r="F9" s="43" t="s">
        <v>22</v>
      </c>
      <c r="G9" s="11"/>
      <c r="I9" s="42" t="s">
        <v>34</v>
      </c>
      <c r="J9" s="48"/>
      <c r="K9" s="42" t="s">
        <v>34</v>
      </c>
      <c r="L9" s="48"/>
      <c r="M9" s="42" t="s">
        <v>34</v>
      </c>
      <c r="O9" s="20" t="s">
        <v>1</v>
      </c>
      <c r="P9" s="47" t="s">
        <v>21</v>
      </c>
      <c r="Q9" s="44">
        <f>D2</f>
        <v>51300</v>
      </c>
      <c r="R9" s="8" t="s">
        <v>0</v>
      </c>
      <c r="S9" s="9" t="s">
        <v>22</v>
      </c>
      <c r="U9" s="4"/>
      <c r="V9" s="42" t="s">
        <v>34</v>
      </c>
      <c r="W9" s="48"/>
      <c r="X9" s="42" t="s">
        <v>34</v>
      </c>
      <c r="Y9" s="48"/>
      <c r="Z9" s="42" t="s">
        <v>34</v>
      </c>
    </row>
    <row r="10" spans="1:26" x14ac:dyDescent="0.3">
      <c r="B10" s="21" t="s">
        <v>2</v>
      </c>
      <c r="C10" s="2">
        <f>IF(D9&gt;700,700,D9)</f>
        <v>700</v>
      </c>
      <c r="D10" s="1" t="s">
        <v>0</v>
      </c>
      <c r="E10" s="11">
        <v>1.62</v>
      </c>
      <c r="F10" s="12">
        <f>SUM(C10*E10/100)</f>
        <v>11.34</v>
      </c>
      <c r="G10" s="11"/>
      <c r="H10" s="1" t="s">
        <v>25</v>
      </c>
      <c r="I10" s="32">
        <v>52.14</v>
      </c>
      <c r="J10" s="11"/>
      <c r="K10" s="32">
        <v>39.72</v>
      </c>
      <c r="L10" s="11"/>
      <c r="M10" s="32">
        <v>39</v>
      </c>
      <c r="O10" s="21" t="s">
        <v>2</v>
      </c>
      <c r="P10" s="2">
        <f>IF(Q9&gt;700,700,Q9)</f>
        <v>700</v>
      </c>
      <c r="Q10" s="1" t="s">
        <v>0</v>
      </c>
      <c r="R10" s="26">
        <v>1.58</v>
      </c>
      <c r="S10" s="12">
        <f>SUM(P10*R10/100)</f>
        <v>11.06</v>
      </c>
      <c r="U10" s="1" t="s">
        <v>25</v>
      </c>
      <c r="V10" s="32">
        <v>52.14</v>
      </c>
      <c r="W10" s="11"/>
      <c r="X10" s="32">
        <v>39.72</v>
      </c>
      <c r="Y10" s="11"/>
      <c r="Z10" s="32">
        <v>39</v>
      </c>
    </row>
    <row r="11" spans="1:26" ht="16.5" x14ac:dyDescent="0.35">
      <c r="B11" s="21" t="s">
        <v>3</v>
      </c>
      <c r="C11" s="2">
        <f>IF(SUM(D9-C10)&gt;11300,11300,SUM(D9-C10))</f>
        <v>11300</v>
      </c>
      <c r="D11" s="1" t="s">
        <v>0</v>
      </c>
      <c r="E11" s="11">
        <v>2.0299999999999998</v>
      </c>
      <c r="F11" s="12">
        <f>SUM(C11*E11/100)</f>
        <v>229.38999999999996</v>
      </c>
      <c r="G11" s="11"/>
      <c r="H11" s="1" t="s">
        <v>35</v>
      </c>
      <c r="I11" s="45">
        <f>I4</f>
        <v>46</v>
      </c>
      <c r="J11" s="51"/>
      <c r="K11" s="45">
        <f>K4</f>
        <v>46</v>
      </c>
      <c r="L11" s="51"/>
      <c r="M11" s="45">
        <f>M4</f>
        <v>46</v>
      </c>
      <c r="O11" s="21" t="s">
        <v>3</v>
      </c>
      <c r="P11" s="2">
        <f>IF(SUM(Q9-P10)&gt;11300,11300,SUM(Q9-P10))</f>
        <v>11300</v>
      </c>
      <c r="Q11" s="1" t="s">
        <v>0</v>
      </c>
      <c r="R11" s="26">
        <v>1.98</v>
      </c>
      <c r="S11" s="12">
        <f>SUM(P11*R11/100)</f>
        <v>223.74</v>
      </c>
      <c r="U11" s="1" t="s">
        <v>35</v>
      </c>
      <c r="V11" s="45">
        <f>V4</f>
        <v>46</v>
      </c>
      <c r="W11" s="51"/>
      <c r="X11" s="45">
        <f>X4</f>
        <v>46</v>
      </c>
      <c r="Y11" s="51"/>
      <c r="Z11" s="45">
        <f>Z4</f>
        <v>46</v>
      </c>
    </row>
    <row r="12" spans="1:26" x14ac:dyDescent="0.3">
      <c r="B12" s="21" t="s">
        <v>23</v>
      </c>
      <c r="C12" s="2">
        <f>IF(SUM(D9-C10-C11)&gt;54000,54000,SUM(D9-C10-C11))</f>
        <v>39300</v>
      </c>
      <c r="D12" s="1" t="s">
        <v>0</v>
      </c>
      <c r="E12" s="11">
        <v>2.5299999999999998</v>
      </c>
      <c r="F12" s="12">
        <f>SUM(C12*E12/100)</f>
        <v>994.28999999999985</v>
      </c>
      <c r="G12" s="11"/>
      <c r="H12" s="1"/>
      <c r="I12" s="36"/>
      <c r="J12" s="30"/>
      <c r="K12" s="36"/>
      <c r="L12" s="30"/>
      <c r="M12" s="36"/>
      <c r="O12" s="21" t="s">
        <v>23</v>
      </c>
      <c r="P12" s="2">
        <f>IF(SUM(Q9-P10-P11)&gt;54000,54000,SUM(Q9-P10-P11))</f>
        <v>39300</v>
      </c>
      <c r="Q12" s="1" t="s">
        <v>0</v>
      </c>
      <c r="R12" s="26">
        <v>2.4700000000000002</v>
      </c>
      <c r="S12" s="12">
        <f>SUM(P12*R12/100)</f>
        <v>970.71000000000015</v>
      </c>
      <c r="V12" s="36"/>
      <c r="W12" s="30"/>
      <c r="X12" s="36"/>
      <c r="Y12" s="30"/>
      <c r="Z12" s="36"/>
    </row>
    <row r="13" spans="1:26" x14ac:dyDescent="0.3">
      <c r="B13" s="21" t="s">
        <v>24</v>
      </c>
      <c r="C13" s="2">
        <f>IF(SUM(D9-C10-C11-C12)&lt;4000,SUM(D9-C10-C11-C12),SUM(D9-C10-C11-C12))</f>
        <v>0</v>
      </c>
      <c r="D13" s="1" t="s">
        <v>0</v>
      </c>
      <c r="E13" s="11">
        <v>3.17</v>
      </c>
      <c r="F13" s="13">
        <f>SUM(C13*E13/100)</f>
        <v>0</v>
      </c>
      <c r="G13" s="11"/>
      <c r="H13" s="1"/>
      <c r="I13" s="32"/>
      <c r="J13" s="11"/>
      <c r="K13" s="32"/>
      <c r="L13" s="11"/>
      <c r="M13" s="32"/>
      <c r="O13" s="21" t="s">
        <v>24</v>
      </c>
      <c r="P13" s="2">
        <f>IF(SUM(Q9-P10-P11-P12)&lt;4000,SUM(Q9-P10-P11-P12),SUM(Q9-P10-P11-P12))</f>
        <v>0</v>
      </c>
      <c r="Q13" s="1" t="s">
        <v>0</v>
      </c>
      <c r="R13" s="26">
        <v>3.1</v>
      </c>
      <c r="S13" s="13">
        <f>SUM(P13*R13/100)</f>
        <v>0</v>
      </c>
      <c r="V13" s="32"/>
      <c r="W13" s="11"/>
      <c r="X13" s="32"/>
      <c r="Y13" s="11"/>
      <c r="Z13" s="32"/>
    </row>
    <row r="14" spans="1:26" ht="17.25" thickBot="1" x14ac:dyDescent="0.4">
      <c r="B14" s="22"/>
      <c r="C14" s="15"/>
      <c r="D14" s="16"/>
      <c r="E14" s="16"/>
      <c r="F14" s="24">
        <f>SUM(F10:F13)</f>
        <v>1235.0199999999998</v>
      </c>
      <c r="G14" s="29"/>
      <c r="H14" s="1" t="s">
        <v>29</v>
      </c>
      <c r="I14" s="38">
        <f>I10*I11</f>
        <v>2398.44</v>
      </c>
      <c r="J14" s="50"/>
      <c r="K14" s="38">
        <f>K10*K11</f>
        <v>1827.12</v>
      </c>
      <c r="L14" s="50"/>
      <c r="M14" s="38">
        <f>M10*M11</f>
        <v>1794</v>
      </c>
      <c r="O14" s="22"/>
      <c r="P14" s="15"/>
      <c r="Q14" s="16"/>
      <c r="R14" s="16"/>
      <c r="S14" s="24">
        <f>SUM(S10:S13)</f>
        <v>1205.5100000000002</v>
      </c>
      <c r="U14" s="1" t="s">
        <v>29</v>
      </c>
      <c r="V14" s="38">
        <f>V10*V11</f>
        <v>2398.44</v>
      </c>
      <c r="W14" s="50"/>
      <c r="X14" s="38">
        <f>X10*X11</f>
        <v>1827.12</v>
      </c>
      <c r="Y14" s="50"/>
      <c r="Z14" s="38">
        <f>Z10*Z11</f>
        <v>1794</v>
      </c>
    </row>
    <row r="15" spans="1:26" ht="3" customHeight="1" thickBot="1" x14ac:dyDescent="0.4">
      <c r="B15" s="23"/>
      <c r="C15" s="7"/>
      <c r="E15" s="4"/>
      <c r="O15" s="23"/>
      <c r="P15" s="7"/>
      <c r="R15" s="4"/>
      <c r="S15" s="4"/>
      <c r="U15" s="4"/>
    </row>
    <row r="16" spans="1:26" ht="17.25" thickBot="1" x14ac:dyDescent="0.4">
      <c r="A16" s="46">
        <v>2026</v>
      </c>
      <c r="B16" s="20" t="s">
        <v>1</v>
      </c>
      <c r="C16" s="47" t="s">
        <v>20</v>
      </c>
      <c r="D16" s="44">
        <f>D2</f>
        <v>51300</v>
      </c>
      <c r="E16" s="8" t="s">
        <v>0</v>
      </c>
      <c r="F16" s="43" t="s">
        <v>22</v>
      </c>
      <c r="G16" s="11"/>
      <c r="I16" s="42" t="s">
        <v>34</v>
      </c>
      <c r="J16" s="48"/>
      <c r="K16" s="42" t="s">
        <v>34</v>
      </c>
      <c r="L16" s="48"/>
      <c r="M16" s="42" t="s">
        <v>34</v>
      </c>
      <c r="O16" s="20" t="s">
        <v>1</v>
      </c>
      <c r="P16" s="47" t="s">
        <v>21</v>
      </c>
      <c r="Q16" s="44">
        <f>D2</f>
        <v>51300</v>
      </c>
      <c r="R16" s="8" t="s">
        <v>0</v>
      </c>
      <c r="S16" s="9" t="s">
        <v>22</v>
      </c>
      <c r="U16" s="4"/>
      <c r="V16" s="42" t="s">
        <v>34</v>
      </c>
      <c r="W16" s="48"/>
      <c r="X16" s="42" t="s">
        <v>34</v>
      </c>
      <c r="Y16" s="48"/>
      <c r="Z16" s="42" t="s">
        <v>34</v>
      </c>
    </row>
    <row r="17" spans="1:26" x14ac:dyDescent="0.3">
      <c r="B17" s="21" t="s">
        <v>2</v>
      </c>
      <c r="C17" s="2">
        <f>IF(D16&gt;700,700,D16)</f>
        <v>700</v>
      </c>
      <c r="D17" s="1" t="s">
        <v>0</v>
      </c>
      <c r="E17" s="11">
        <v>1.81</v>
      </c>
      <c r="F17" s="12">
        <f>SUM(C17*E17/100)</f>
        <v>12.67</v>
      </c>
      <c r="G17" s="11"/>
      <c r="H17" s="1" t="s">
        <v>25</v>
      </c>
      <c r="I17" s="32">
        <v>52.67</v>
      </c>
      <c r="J17" s="11"/>
      <c r="K17" s="32">
        <v>42.86</v>
      </c>
      <c r="L17" s="11"/>
      <c r="M17" s="32">
        <v>47.52</v>
      </c>
      <c r="O17" s="21" t="s">
        <v>2</v>
      </c>
      <c r="P17" s="2">
        <f>IF(Q16&gt;700,700,Q16)</f>
        <v>700</v>
      </c>
      <c r="Q17" s="1" t="s">
        <v>0</v>
      </c>
      <c r="R17" s="26">
        <v>1.7</v>
      </c>
      <c r="S17" s="12">
        <f>SUM(P17*R17/100)</f>
        <v>11.9</v>
      </c>
      <c r="U17" s="1" t="s">
        <v>25</v>
      </c>
      <c r="V17" s="32">
        <v>52.67</v>
      </c>
      <c r="W17" s="11"/>
      <c r="X17" s="32">
        <v>42.86</v>
      </c>
      <c r="Y17" s="11"/>
      <c r="Z17" s="32">
        <v>47.52</v>
      </c>
    </row>
    <row r="18" spans="1:26" ht="16.5" x14ac:dyDescent="0.35">
      <c r="B18" s="21" t="s">
        <v>3</v>
      </c>
      <c r="C18" s="2">
        <f>IF(SUM(D16-C17)&gt;11300,11300,SUM(D16-C17))</f>
        <v>11300</v>
      </c>
      <c r="D18" s="1" t="s">
        <v>0</v>
      </c>
      <c r="E18" s="11">
        <v>2.27</v>
      </c>
      <c r="F18" s="12">
        <f>SUM(C18*E18/100)</f>
        <v>256.51</v>
      </c>
      <c r="G18" s="11"/>
      <c r="H18" s="1" t="s">
        <v>35</v>
      </c>
      <c r="I18" s="45">
        <f>I4</f>
        <v>46</v>
      </c>
      <c r="J18" s="51"/>
      <c r="K18" s="45">
        <f>K4</f>
        <v>46</v>
      </c>
      <c r="L18" s="51"/>
      <c r="M18" s="45">
        <f>M4</f>
        <v>46</v>
      </c>
      <c r="O18" s="21" t="s">
        <v>3</v>
      </c>
      <c r="P18" s="2">
        <f>IF(SUM(Q16-P17)&gt;11300,11300,SUM(Q16-P17))</f>
        <v>11300</v>
      </c>
      <c r="Q18" s="1" t="s">
        <v>0</v>
      </c>
      <c r="R18" s="26">
        <v>2.13</v>
      </c>
      <c r="S18" s="12">
        <f>SUM(P18*R18/100)</f>
        <v>240.69</v>
      </c>
      <c r="U18" s="1" t="s">
        <v>35</v>
      </c>
      <c r="V18" s="45">
        <f>V4</f>
        <v>46</v>
      </c>
      <c r="W18" s="51"/>
      <c r="X18" s="45">
        <f>X4</f>
        <v>46</v>
      </c>
      <c r="Y18" s="51"/>
      <c r="Z18" s="45">
        <f>Z4</f>
        <v>46</v>
      </c>
    </row>
    <row r="19" spans="1:26" x14ac:dyDescent="0.3">
      <c r="B19" s="21" t="s">
        <v>23</v>
      </c>
      <c r="C19" s="2">
        <f>IF(SUM(D16-C17-C18)&gt;54000,54000,SUM(D16-C17-C18))</f>
        <v>39300</v>
      </c>
      <c r="D19" s="1" t="s">
        <v>0</v>
      </c>
      <c r="E19" s="11">
        <v>2.83</v>
      </c>
      <c r="F19" s="12">
        <f>SUM(C19*E19/100)</f>
        <v>1112.19</v>
      </c>
      <c r="G19" s="11"/>
      <c r="H19" s="1"/>
      <c r="I19" s="36"/>
      <c r="J19" s="30"/>
      <c r="K19" s="36"/>
      <c r="L19" s="30"/>
      <c r="M19" s="36"/>
      <c r="O19" s="21" t="s">
        <v>23</v>
      </c>
      <c r="P19" s="2">
        <f>IF(SUM(Q16-P17-P18)&gt;54000,54000,SUM(Q16-P17-P18))</f>
        <v>39300</v>
      </c>
      <c r="Q19" s="1" t="s">
        <v>0</v>
      </c>
      <c r="R19" s="26">
        <v>2.66</v>
      </c>
      <c r="S19" s="12">
        <f>SUM(P19*R19/100)</f>
        <v>1045.3800000000001</v>
      </c>
      <c r="V19" s="36"/>
      <c r="W19" s="30"/>
      <c r="X19" s="36"/>
      <c r="Y19" s="30"/>
      <c r="Z19" s="36"/>
    </row>
    <row r="20" spans="1:26" x14ac:dyDescent="0.3">
      <c r="B20" s="21" t="s">
        <v>24</v>
      </c>
      <c r="C20" s="2">
        <f>IF(SUM(D16-C17-C18-C19)&lt;4000,SUM(D16-C17-C18-C19),SUM(D16-C17-C18-C19))</f>
        <v>0</v>
      </c>
      <c r="D20" s="1" t="s">
        <v>0</v>
      </c>
      <c r="E20" s="11">
        <v>3.55</v>
      </c>
      <c r="F20" s="13">
        <f>SUM(C20*E20/100)</f>
        <v>0</v>
      </c>
      <c r="G20" s="11"/>
      <c r="H20" s="1"/>
      <c r="I20" s="32"/>
      <c r="J20" s="11"/>
      <c r="K20" s="32"/>
      <c r="L20" s="11"/>
      <c r="M20" s="32"/>
      <c r="O20" s="21" t="s">
        <v>24</v>
      </c>
      <c r="P20" s="2">
        <f>IF(SUM(Q16-P17-P18-P19)&lt;4000,SUM(Q16-P17-P18-P19),SUM(Q16-P17-P18-P19))</f>
        <v>0</v>
      </c>
      <c r="Q20" s="1" t="s">
        <v>0</v>
      </c>
      <c r="R20" s="26">
        <v>3.33</v>
      </c>
      <c r="S20" s="13">
        <f>SUM(P20*R20/100)</f>
        <v>0</v>
      </c>
      <c r="V20" s="32"/>
      <c r="W20" s="11"/>
      <c r="X20" s="32"/>
      <c r="Y20" s="11"/>
      <c r="Z20" s="32"/>
    </row>
    <row r="21" spans="1:26" ht="17.25" thickBot="1" x14ac:dyDescent="0.4">
      <c r="B21" s="22"/>
      <c r="C21" s="15"/>
      <c r="D21" s="16"/>
      <c r="E21" s="16"/>
      <c r="F21" s="24">
        <f>SUM(F17:F20)</f>
        <v>1381.3700000000001</v>
      </c>
      <c r="G21" s="29"/>
      <c r="H21" s="1" t="s">
        <v>29</v>
      </c>
      <c r="I21" s="38">
        <f>I17*I18</f>
        <v>2422.8200000000002</v>
      </c>
      <c r="J21" s="50"/>
      <c r="K21" s="38">
        <f>K17*K18</f>
        <v>1971.56</v>
      </c>
      <c r="L21" s="50"/>
      <c r="M21" s="38">
        <f>M17*M18</f>
        <v>2185.92</v>
      </c>
      <c r="O21" s="22"/>
      <c r="P21" s="15"/>
      <c r="Q21" s="16"/>
      <c r="R21" s="16"/>
      <c r="S21" s="24">
        <f>SUM(S17:S20)</f>
        <v>1297.97</v>
      </c>
      <c r="U21" s="1" t="s">
        <v>29</v>
      </c>
      <c r="V21" s="38">
        <f>V17*V18</f>
        <v>2422.8200000000002</v>
      </c>
      <c r="W21" s="50"/>
      <c r="X21" s="38">
        <f>X17*X18</f>
        <v>1971.56</v>
      </c>
      <c r="Y21" s="50"/>
      <c r="Z21" s="38">
        <f>Z17*Z18</f>
        <v>2185.92</v>
      </c>
    </row>
    <row r="22" spans="1:26" ht="3" customHeight="1" thickBot="1" x14ac:dyDescent="0.4">
      <c r="B22" s="23"/>
      <c r="C22" s="2"/>
      <c r="E22" s="4"/>
      <c r="O22" s="23"/>
      <c r="P22" s="2"/>
      <c r="R22" s="4"/>
      <c r="S22" s="4"/>
      <c r="U22" s="4"/>
    </row>
    <row r="23" spans="1:26" ht="17.25" thickBot="1" x14ac:dyDescent="0.4">
      <c r="A23" s="46">
        <v>2027</v>
      </c>
      <c r="B23" s="20" t="s">
        <v>1</v>
      </c>
      <c r="C23" s="47" t="s">
        <v>20</v>
      </c>
      <c r="D23" s="44">
        <f>D2</f>
        <v>51300</v>
      </c>
      <c r="E23" s="8" t="s">
        <v>0</v>
      </c>
      <c r="F23" s="43" t="s">
        <v>22</v>
      </c>
      <c r="G23" s="11"/>
      <c r="I23" s="42" t="s">
        <v>34</v>
      </c>
      <c r="J23" s="48"/>
      <c r="K23" s="42" t="s">
        <v>34</v>
      </c>
      <c r="L23" s="48"/>
      <c r="M23" s="42" t="s">
        <v>34</v>
      </c>
      <c r="O23" s="20" t="s">
        <v>1</v>
      </c>
      <c r="P23" s="47" t="s">
        <v>21</v>
      </c>
      <c r="Q23" s="44">
        <f>D2</f>
        <v>51300</v>
      </c>
      <c r="R23" s="8" t="s">
        <v>0</v>
      </c>
      <c r="S23" s="9" t="s">
        <v>22</v>
      </c>
      <c r="U23" s="4"/>
      <c r="V23" s="42" t="s">
        <v>34</v>
      </c>
      <c r="W23" s="48"/>
      <c r="X23" s="42" t="s">
        <v>34</v>
      </c>
      <c r="Y23" s="48"/>
      <c r="Z23" s="42" t="s">
        <v>34</v>
      </c>
    </row>
    <row r="24" spans="1:26" x14ac:dyDescent="0.3">
      <c r="B24" s="21" t="s">
        <v>2</v>
      </c>
      <c r="C24" s="2">
        <f>IF(D23&gt;700,700,D23)</f>
        <v>700</v>
      </c>
      <c r="D24" s="1" t="s">
        <v>0</v>
      </c>
      <c r="E24" s="11">
        <v>1.88</v>
      </c>
      <c r="F24" s="12">
        <f>SUM(C24*E24/100)</f>
        <v>13.16</v>
      </c>
      <c r="G24" s="11"/>
      <c r="H24" s="1" t="s">
        <v>25</v>
      </c>
      <c r="I24" s="32">
        <v>55.24</v>
      </c>
      <c r="J24" s="11"/>
      <c r="K24" s="32">
        <v>44.91</v>
      </c>
      <c r="L24" s="11"/>
      <c r="M24" s="32">
        <v>52.48</v>
      </c>
      <c r="O24" s="21" t="s">
        <v>2</v>
      </c>
      <c r="P24" s="2">
        <f>IF(Q23&gt;700,700,Q23)</f>
        <v>700</v>
      </c>
      <c r="Q24" s="1" t="s">
        <v>0</v>
      </c>
      <c r="R24" s="26">
        <v>1.83</v>
      </c>
      <c r="S24" s="12">
        <f>SUM(P24*R24/100)</f>
        <v>12.81</v>
      </c>
      <c r="U24" s="1" t="s">
        <v>25</v>
      </c>
      <c r="V24" s="32">
        <v>55.24</v>
      </c>
      <c r="W24" s="11"/>
      <c r="X24" s="32">
        <v>44.91</v>
      </c>
      <c r="Y24" s="11"/>
      <c r="Z24" s="32">
        <v>52.48</v>
      </c>
    </row>
    <row r="25" spans="1:26" ht="16.5" x14ac:dyDescent="0.35">
      <c r="B25" s="21" t="s">
        <v>3</v>
      </c>
      <c r="C25" s="2">
        <f>IF(SUM(D23-C24)&gt;11300,11300,SUM(D23-C24))</f>
        <v>11300</v>
      </c>
      <c r="D25" s="1" t="s">
        <v>0</v>
      </c>
      <c r="E25" s="11">
        <v>2.35</v>
      </c>
      <c r="F25" s="12">
        <f>SUM(C25*E25/100)</f>
        <v>265.55</v>
      </c>
      <c r="G25" s="11"/>
      <c r="H25" s="1" t="s">
        <v>35</v>
      </c>
      <c r="I25" s="45">
        <f>I4</f>
        <v>46</v>
      </c>
      <c r="J25" s="51"/>
      <c r="K25" s="45">
        <f>K4</f>
        <v>46</v>
      </c>
      <c r="L25" s="51"/>
      <c r="M25" s="45">
        <f>M4</f>
        <v>46</v>
      </c>
      <c r="O25" s="21" t="s">
        <v>3</v>
      </c>
      <c r="P25" s="2">
        <f>IF(SUM(Q23-P24)&gt;11300,11300,SUM(Q23-P24))</f>
        <v>11300</v>
      </c>
      <c r="Q25" s="1" t="s">
        <v>0</v>
      </c>
      <c r="R25" s="26">
        <v>2.29</v>
      </c>
      <c r="S25" s="12">
        <f>SUM(P25*R25/100)</f>
        <v>258.77</v>
      </c>
      <c r="U25" s="1" t="s">
        <v>35</v>
      </c>
      <c r="V25" s="45">
        <f>V4</f>
        <v>46</v>
      </c>
      <c r="W25" s="51"/>
      <c r="X25" s="45">
        <f>X4</f>
        <v>46</v>
      </c>
      <c r="Y25" s="51"/>
      <c r="Z25" s="45">
        <f>Z4</f>
        <v>46</v>
      </c>
    </row>
    <row r="26" spans="1:26" x14ac:dyDescent="0.3">
      <c r="B26" s="21" t="s">
        <v>23</v>
      </c>
      <c r="C26" s="2">
        <f>IF(SUM(D23-C24-C25)&gt;54000,54000,SUM(D23-C24-C25))</f>
        <v>39300</v>
      </c>
      <c r="D26" s="1" t="s">
        <v>0</v>
      </c>
      <c r="E26" s="11">
        <v>2.94</v>
      </c>
      <c r="F26" s="12">
        <f>SUM(C26*E26/100)</f>
        <v>1155.42</v>
      </c>
      <c r="G26" s="11"/>
      <c r="H26" s="1"/>
      <c r="I26" s="36"/>
      <c r="J26" s="30"/>
      <c r="K26" s="36"/>
      <c r="L26" s="30"/>
      <c r="M26" s="36"/>
      <c r="O26" s="21" t="s">
        <v>23</v>
      </c>
      <c r="P26" s="2">
        <f>IF(SUM(Q23-P24-P25)&gt;54000,54000,SUM(Q23-P24-P25))</f>
        <v>39300</v>
      </c>
      <c r="Q26" s="1" t="s">
        <v>0</v>
      </c>
      <c r="R26" s="26">
        <v>2.86</v>
      </c>
      <c r="S26" s="12">
        <f>SUM(P26*R26/100)</f>
        <v>1123.98</v>
      </c>
      <c r="V26" s="36"/>
      <c r="W26" s="30"/>
      <c r="X26" s="36"/>
      <c r="Y26" s="30"/>
      <c r="Z26" s="36"/>
    </row>
    <row r="27" spans="1:26" x14ac:dyDescent="0.3">
      <c r="B27" s="21" t="s">
        <v>24</v>
      </c>
      <c r="C27" s="2">
        <f>IF(SUM(D23-C24-C25-C26)&lt;4000,SUM(D23-C24-C25-C26),SUM(D23-C24-C25-C26))</f>
        <v>0</v>
      </c>
      <c r="D27" s="1" t="s">
        <v>0</v>
      </c>
      <c r="E27" s="11">
        <v>3.68</v>
      </c>
      <c r="F27" s="13">
        <f>SUM(C27*E27/100)</f>
        <v>0</v>
      </c>
      <c r="G27" s="11"/>
      <c r="H27" s="1"/>
      <c r="I27" s="32"/>
      <c r="J27" s="11"/>
      <c r="K27" s="32"/>
      <c r="L27" s="11"/>
      <c r="M27" s="32"/>
      <c r="O27" s="21" t="s">
        <v>24</v>
      </c>
      <c r="P27" s="2">
        <f>IF(SUM(Q23-P24-P25-P26)&lt;4000,SUM(Q23-P24-P25-P26),SUM(Q23-P24-P25-P26))</f>
        <v>0</v>
      </c>
      <c r="Q27" s="1" t="s">
        <v>0</v>
      </c>
      <c r="R27" s="26">
        <v>3.58</v>
      </c>
      <c r="S27" s="13">
        <f>SUM(P27*R27/100)</f>
        <v>0</v>
      </c>
      <c r="V27" s="32"/>
      <c r="W27" s="11"/>
      <c r="X27" s="32"/>
      <c r="Y27" s="11"/>
      <c r="Z27" s="32"/>
    </row>
    <row r="28" spans="1:26" ht="17.25" thickBot="1" x14ac:dyDescent="0.4">
      <c r="B28" s="22"/>
      <c r="C28" s="15"/>
      <c r="D28" s="16"/>
      <c r="E28" s="16"/>
      <c r="F28" s="24">
        <f>SUM(F24:F27)</f>
        <v>1434.13</v>
      </c>
      <c r="G28" s="29"/>
      <c r="H28" s="1" t="s">
        <v>29</v>
      </c>
      <c r="I28" s="38">
        <f>I24*I25</f>
        <v>2541.04</v>
      </c>
      <c r="J28" s="50"/>
      <c r="K28" s="38">
        <f>K24*K25</f>
        <v>2065.8599999999997</v>
      </c>
      <c r="L28" s="50"/>
      <c r="M28" s="38">
        <f>M24*M25</f>
        <v>2414.08</v>
      </c>
      <c r="O28" s="22"/>
      <c r="P28" s="15"/>
      <c r="Q28" s="16"/>
      <c r="R28" s="16"/>
      <c r="S28" s="24">
        <f>SUM(S24:S27)</f>
        <v>1395.56</v>
      </c>
      <c r="U28" s="1" t="s">
        <v>29</v>
      </c>
      <c r="V28" s="38">
        <f>V24*V25</f>
        <v>2541.04</v>
      </c>
      <c r="W28" s="50"/>
      <c r="X28" s="38">
        <f>X24*X25</f>
        <v>2065.8599999999997</v>
      </c>
      <c r="Y28" s="50"/>
      <c r="Z28" s="38">
        <f>Z24*Z25</f>
        <v>2414.08</v>
      </c>
    </row>
    <row r="29" spans="1:26" ht="3" customHeight="1" thickBot="1" x14ac:dyDescent="0.5">
      <c r="B29" s="23"/>
      <c r="F29" s="5"/>
      <c r="G29" s="5"/>
      <c r="H29" s="5"/>
      <c r="I29" s="5"/>
      <c r="J29" s="5"/>
      <c r="K29" s="5"/>
      <c r="L29" s="5"/>
      <c r="M29" s="5"/>
      <c r="O29" s="23"/>
      <c r="S29" s="5"/>
      <c r="U29" s="5"/>
      <c r="V29" s="5"/>
      <c r="W29" s="5"/>
      <c r="X29" s="5"/>
      <c r="Y29" s="5"/>
      <c r="Z29" s="5"/>
    </row>
    <row r="30" spans="1:26" ht="17.25" thickBot="1" x14ac:dyDescent="0.4">
      <c r="A30" s="46">
        <v>2028</v>
      </c>
      <c r="B30" s="20" t="s">
        <v>1</v>
      </c>
      <c r="C30" s="47" t="s">
        <v>20</v>
      </c>
      <c r="D30" s="44">
        <f>D2</f>
        <v>51300</v>
      </c>
      <c r="E30" s="8" t="s">
        <v>0</v>
      </c>
      <c r="F30" s="43" t="s">
        <v>22</v>
      </c>
      <c r="G30" s="11"/>
      <c r="I30" s="42" t="s">
        <v>34</v>
      </c>
      <c r="J30" s="48"/>
      <c r="K30" s="42" t="s">
        <v>34</v>
      </c>
      <c r="L30" s="48"/>
      <c r="M30" s="42" t="s">
        <v>34</v>
      </c>
      <c r="O30" s="20" t="s">
        <v>1</v>
      </c>
      <c r="P30" s="47" t="s">
        <v>21</v>
      </c>
      <c r="Q30" s="44">
        <f>D2</f>
        <v>51300</v>
      </c>
      <c r="R30" s="8" t="s">
        <v>0</v>
      </c>
      <c r="S30" s="9" t="s">
        <v>22</v>
      </c>
      <c r="U30" s="4"/>
      <c r="V30" s="42" t="s">
        <v>34</v>
      </c>
      <c r="W30" s="48"/>
      <c r="X30" s="42" t="s">
        <v>34</v>
      </c>
      <c r="Y30" s="48"/>
      <c r="Z30" s="42" t="s">
        <v>34</v>
      </c>
    </row>
    <row r="31" spans="1:26" x14ac:dyDescent="0.3">
      <c r="B31" s="21" t="s">
        <v>2</v>
      </c>
      <c r="C31" s="2">
        <f>IF(D30&gt;700,700,D30)</f>
        <v>700</v>
      </c>
      <c r="D31" s="1" t="s">
        <v>0</v>
      </c>
      <c r="E31" s="11">
        <v>1.92</v>
      </c>
      <c r="F31" s="12">
        <f>SUM(C31*E31/100)</f>
        <v>13.44</v>
      </c>
      <c r="G31" s="11"/>
      <c r="H31" s="1" t="s">
        <v>25</v>
      </c>
      <c r="I31" s="32">
        <v>56.86</v>
      </c>
      <c r="J31" s="11"/>
      <c r="K31" s="32">
        <v>46.62</v>
      </c>
      <c r="L31" s="11"/>
      <c r="M31" s="32">
        <v>59.61</v>
      </c>
      <c r="O31" s="21" t="s">
        <v>2</v>
      </c>
      <c r="P31" s="2">
        <f>IF(Q30&gt;700,700,Q30)</f>
        <v>700</v>
      </c>
      <c r="Q31" s="1" t="s">
        <v>0</v>
      </c>
      <c r="R31" s="26">
        <v>1.94</v>
      </c>
      <c r="S31" s="12">
        <f>SUM(P31*R31/100)</f>
        <v>13.58</v>
      </c>
      <c r="U31" s="1" t="s">
        <v>25</v>
      </c>
      <c r="V31" s="32">
        <v>56.86</v>
      </c>
      <c r="W31" s="11"/>
      <c r="X31" s="32">
        <v>46.62</v>
      </c>
      <c r="Y31" s="11"/>
      <c r="Z31" s="32">
        <v>59.61</v>
      </c>
    </row>
    <row r="32" spans="1:26" ht="16.5" x14ac:dyDescent="0.35">
      <c r="B32" s="21" t="s">
        <v>3</v>
      </c>
      <c r="C32" s="2">
        <f>IF(SUM(D30-C31)&gt;11300,11300,SUM(D30-C31))</f>
        <v>11300</v>
      </c>
      <c r="D32" s="1" t="s">
        <v>0</v>
      </c>
      <c r="E32" s="11">
        <v>2.4</v>
      </c>
      <c r="F32" s="12">
        <f>SUM(C32*E32/100)</f>
        <v>271.2</v>
      </c>
      <c r="G32" s="11"/>
      <c r="H32" s="1" t="s">
        <v>35</v>
      </c>
      <c r="I32" s="45">
        <f>I4</f>
        <v>46</v>
      </c>
      <c r="J32" s="51"/>
      <c r="K32" s="45">
        <f>K4</f>
        <v>46</v>
      </c>
      <c r="L32" s="51"/>
      <c r="M32" s="45">
        <f>M4</f>
        <v>46</v>
      </c>
      <c r="O32" s="21" t="s">
        <v>3</v>
      </c>
      <c r="P32" s="2">
        <f>IF(SUM(Q30-P31)&gt;11300,11300,SUM(Q30-P31))</f>
        <v>11300</v>
      </c>
      <c r="Q32" s="1" t="s">
        <v>0</v>
      </c>
      <c r="R32" s="26">
        <v>2.4300000000000002</v>
      </c>
      <c r="S32" s="12">
        <f>SUM(P32*R32/100)</f>
        <v>274.58999999999997</v>
      </c>
      <c r="U32" s="1" t="s">
        <v>35</v>
      </c>
      <c r="V32" s="45">
        <f>V4</f>
        <v>46</v>
      </c>
      <c r="W32" s="51"/>
      <c r="X32" s="45">
        <f>X4</f>
        <v>46</v>
      </c>
      <c r="Y32" s="51"/>
      <c r="Z32" s="45">
        <f>Z4</f>
        <v>46</v>
      </c>
    </row>
    <row r="33" spans="2:26" x14ac:dyDescent="0.3">
      <c r="B33" s="21" t="s">
        <v>23</v>
      </c>
      <c r="C33" s="2">
        <f>IF(SUM(D30-C31-C32)&gt;54000,54000,SUM(D30-C31-C32))</f>
        <v>39300</v>
      </c>
      <c r="D33" s="1" t="s">
        <v>0</v>
      </c>
      <c r="E33" s="11">
        <v>3.01</v>
      </c>
      <c r="F33" s="12">
        <f>SUM(C33*E33/100)</f>
        <v>1182.9299999999998</v>
      </c>
      <c r="G33" s="11"/>
      <c r="H33" s="1"/>
      <c r="I33" s="36"/>
      <c r="J33" s="30"/>
      <c r="K33" s="36"/>
      <c r="L33" s="30"/>
      <c r="M33" s="36"/>
      <c r="O33" s="21" t="s">
        <v>23</v>
      </c>
      <c r="P33" s="2">
        <f>IF(SUM(Q30-P31-P32)&gt;54000,54000,SUM(Q30-P31-P32))</f>
        <v>39300</v>
      </c>
      <c r="Q33" s="1" t="s">
        <v>0</v>
      </c>
      <c r="R33" s="26">
        <v>3.04</v>
      </c>
      <c r="S33" s="12">
        <f>SUM(P33*R33/100)</f>
        <v>1194.72</v>
      </c>
      <c r="V33" s="36"/>
      <c r="W33" s="30"/>
      <c r="X33" s="36"/>
      <c r="Y33" s="30"/>
      <c r="Z33" s="36"/>
    </row>
    <row r="34" spans="2:26" x14ac:dyDescent="0.3">
      <c r="B34" s="21" t="s">
        <v>24</v>
      </c>
      <c r="C34" s="2">
        <f>IF(SUM(D30-C31-C32-C33)&lt;4000,SUM(D30-C31-C32-C33),SUM(D30-C31-C32-C33))</f>
        <v>0</v>
      </c>
      <c r="D34" s="1" t="s">
        <v>0</v>
      </c>
      <c r="E34" s="11">
        <v>3.76</v>
      </c>
      <c r="F34" s="13">
        <f>SUM(C34*E34/100)</f>
        <v>0</v>
      </c>
      <c r="G34" s="11"/>
      <c r="H34" s="1"/>
      <c r="I34" s="32"/>
      <c r="J34" s="11"/>
      <c r="K34" s="32"/>
      <c r="L34" s="11"/>
      <c r="M34" s="32"/>
      <c r="O34" s="21" t="s">
        <v>24</v>
      </c>
      <c r="P34" s="2">
        <f>IF(SUM(Q30-P31-P32-P33)&lt;4000,SUM(Q30-P31-P32-P33),SUM(Q30-P31-P32-P33))</f>
        <v>0</v>
      </c>
      <c r="Q34" s="1" t="s">
        <v>0</v>
      </c>
      <c r="R34" s="26">
        <v>3.81</v>
      </c>
      <c r="S34" s="13">
        <f>SUM(P34*R34/100)</f>
        <v>0</v>
      </c>
      <c r="V34" s="32"/>
      <c r="W34" s="11"/>
      <c r="X34" s="32"/>
      <c r="Y34" s="11"/>
      <c r="Z34" s="32"/>
    </row>
    <row r="35" spans="2:26" ht="17.25" thickBot="1" x14ac:dyDescent="0.4">
      <c r="B35" s="22"/>
      <c r="C35" s="15"/>
      <c r="D35" s="16"/>
      <c r="E35" s="16"/>
      <c r="F35" s="24">
        <f>SUM(F31:F34)</f>
        <v>1467.5699999999997</v>
      </c>
      <c r="G35" s="29"/>
      <c r="H35" s="1" t="s">
        <v>29</v>
      </c>
      <c r="I35" s="38">
        <f>I31*I32</f>
        <v>2615.56</v>
      </c>
      <c r="J35" s="50"/>
      <c r="K35" s="38">
        <f>K31*K32</f>
        <v>2144.52</v>
      </c>
      <c r="L35" s="50"/>
      <c r="M35" s="38">
        <f>M31*M32</f>
        <v>2742.06</v>
      </c>
      <c r="O35" s="22"/>
      <c r="P35" s="15"/>
      <c r="Q35" s="16"/>
      <c r="R35" s="16"/>
      <c r="S35" s="24">
        <f>SUM(S31:S34)</f>
        <v>1482.8899999999999</v>
      </c>
      <c r="U35" s="1" t="s">
        <v>29</v>
      </c>
      <c r="V35" s="38">
        <f>V31*V32</f>
        <v>2615.56</v>
      </c>
      <c r="W35" s="50"/>
      <c r="X35" s="38">
        <f>X31*X32</f>
        <v>2144.52</v>
      </c>
      <c r="Y35" s="50"/>
      <c r="Z35" s="38">
        <f>Z31*Z32</f>
        <v>2742.06</v>
      </c>
    </row>
  </sheetData>
  <pageMargins left="0.75" right="0.75" top="1" bottom="1" header="0.5" footer="0.5"/>
  <pageSetup orientation="portrait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2"/>
  <sheetViews>
    <sheetView zoomScale="80" zoomScaleNormal="80" workbookViewId="0">
      <selection activeCell="D3" sqref="D3"/>
    </sheetView>
  </sheetViews>
  <sheetFormatPr defaultRowHeight="16.5" x14ac:dyDescent="0.35"/>
  <cols>
    <col min="1" max="1" width="6.28515625" style="23" bestFit="1" customWidth="1"/>
    <col min="2" max="2" width="21.7109375" style="1" customWidth="1"/>
    <col min="3" max="5" width="14.7109375" style="1" customWidth="1"/>
    <col min="6" max="6" width="14.7109375" style="4" customWidth="1"/>
    <col min="7" max="7" width="2.28515625" style="4" customWidth="1"/>
    <col min="8" max="8" width="18.28515625" style="1" customWidth="1"/>
    <col min="9" max="9" width="2.28515625" style="1" customWidth="1"/>
    <col min="10" max="10" width="12.28515625" style="1" bestFit="1" customWidth="1"/>
    <col min="11" max="11" width="18.28515625" style="1" customWidth="1"/>
    <col min="12" max="16384" width="9.140625" style="1"/>
  </cols>
  <sheetData>
    <row r="1" spans="1:11" ht="16.5" customHeight="1" thickBot="1" x14ac:dyDescent="0.4">
      <c r="D1" s="2"/>
      <c r="G1" s="11"/>
      <c r="H1" s="3" t="s">
        <v>36</v>
      </c>
      <c r="I1" s="3"/>
      <c r="K1" s="1" t="s">
        <v>37</v>
      </c>
    </row>
    <row r="2" spans="1:11" ht="17.25" thickBot="1" x14ac:dyDescent="0.4">
      <c r="A2" s="46">
        <v>2024</v>
      </c>
      <c r="B2" s="18" t="s">
        <v>1</v>
      </c>
      <c r="C2" s="54" t="s">
        <v>20</v>
      </c>
      <c r="D2" s="39">
        <v>1977</v>
      </c>
      <c r="E2" s="8" t="s">
        <v>0</v>
      </c>
      <c r="F2" s="9"/>
      <c r="G2" s="11"/>
      <c r="H2" s="31" t="s">
        <v>25</v>
      </c>
      <c r="J2" s="1" t="s">
        <v>25</v>
      </c>
      <c r="K2" s="35">
        <v>18.760000000000002</v>
      </c>
    </row>
    <row r="3" spans="1:11" x14ac:dyDescent="0.35">
      <c r="B3" s="10" t="s">
        <v>8</v>
      </c>
      <c r="C3" s="2">
        <f>IF(D2&gt;12000,12000,D2)</f>
        <v>1977</v>
      </c>
      <c r="D3" s="1" t="s">
        <v>0</v>
      </c>
      <c r="E3" s="11">
        <v>1.95</v>
      </c>
      <c r="F3" s="12">
        <f>SUM(C3*E3/100)</f>
        <v>38.551500000000004</v>
      </c>
      <c r="G3" s="11"/>
      <c r="H3" s="32">
        <v>51.1</v>
      </c>
      <c r="I3" s="11"/>
      <c r="J3" s="1" t="s">
        <v>27</v>
      </c>
      <c r="K3" s="40">
        <v>89</v>
      </c>
    </row>
    <row r="4" spans="1:11" x14ac:dyDescent="0.35">
      <c r="B4" s="10" t="s">
        <v>9</v>
      </c>
      <c r="C4" s="2">
        <f>IF(SUM(D2-C3)&gt;108000,108000,SUM(D2-C3))</f>
        <v>0</v>
      </c>
      <c r="D4" s="1" t="s">
        <v>0</v>
      </c>
      <c r="E4" s="11">
        <v>2.44</v>
      </c>
      <c r="F4" s="12">
        <f>SUM(C4*E4/100)</f>
        <v>0</v>
      </c>
      <c r="G4" s="11"/>
      <c r="H4" s="33" t="s">
        <v>26</v>
      </c>
      <c r="J4" s="1" t="s">
        <v>28</v>
      </c>
      <c r="K4" s="36">
        <f>K2*K3</f>
        <v>1669.64</v>
      </c>
    </row>
    <row r="5" spans="1:11" x14ac:dyDescent="0.35">
      <c r="B5" s="10" t="s">
        <v>10</v>
      </c>
      <c r="C5" s="2">
        <f>IF(SUM(D2-C3-C4)&gt;120000,SUM(D2-C3-C4),SUM(D2-C3-C4))</f>
        <v>0</v>
      </c>
      <c r="D5" s="1" t="s">
        <v>0</v>
      </c>
      <c r="E5" s="11">
        <v>3.66</v>
      </c>
      <c r="F5" s="13">
        <f>SUM(C5*E5/100)</f>
        <v>0</v>
      </c>
      <c r="G5" s="11"/>
      <c r="H5" s="34">
        <f>D2/100*10.96</f>
        <v>216.67920000000001</v>
      </c>
      <c r="I5" s="11"/>
      <c r="J5" s="1" t="s">
        <v>26</v>
      </c>
      <c r="K5" s="34">
        <f>D2/100*9.93</f>
        <v>196.31609999999998</v>
      </c>
    </row>
    <row r="6" spans="1:11" ht="17.25" thickBot="1" x14ac:dyDescent="0.4">
      <c r="B6" s="14"/>
      <c r="C6" s="15"/>
      <c r="D6" s="16"/>
      <c r="E6" s="16"/>
      <c r="F6" s="24">
        <f>SUM(F3:F5)</f>
        <v>38.551500000000004</v>
      </c>
      <c r="G6" s="11"/>
      <c r="H6" s="37">
        <f>SUM(H3+H5)</f>
        <v>267.7792</v>
      </c>
      <c r="I6" s="30"/>
      <c r="J6" s="1" t="s">
        <v>29</v>
      </c>
      <c r="K6" s="37">
        <f>SUM(K4+K5)</f>
        <v>1865.9561000000001</v>
      </c>
    </row>
    <row r="7" spans="1:11" ht="3" customHeight="1" thickBot="1" x14ac:dyDescent="0.4">
      <c r="F7" s="11"/>
      <c r="G7" s="11"/>
    </row>
    <row r="8" spans="1:11" ht="17.25" thickBot="1" x14ac:dyDescent="0.4">
      <c r="A8" s="46">
        <v>2025</v>
      </c>
      <c r="B8" s="18" t="s">
        <v>1</v>
      </c>
      <c r="C8" s="54" t="s">
        <v>20</v>
      </c>
      <c r="D8" s="44">
        <f>D2</f>
        <v>1977</v>
      </c>
      <c r="E8" s="8" t="s">
        <v>0</v>
      </c>
      <c r="F8" s="9"/>
      <c r="G8" s="11"/>
      <c r="H8" s="31" t="s">
        <v>25</v>
      </c>
      <c r="J8" s="1" t="s">
        <v>25</v>
      </c>
      <c r="K8" s="35">
        <v>19.7</v>
      </c>
    </row>
    <row r="9" spans="1:11" x14ac:dyDescent="0.35">
      <c r="B9" s="10" t="s">
        <v>8</v>
      </c>
      <c r="C9" s="2">
        <f>IF(D8&gt;12000,12000,D8)</f>
        <v>1977</v>
      </c>
      <c r="D9" s="1" t="s">
        <v>0</v>
      </c>
      <c r="E9" s="11">
        <v>1.98</v>
      </c>
      <c r="F9" s="12">
        <f>SUM(C9*E9/100)</f>
        <v>39.144599999999997</v>
      </c>
      <c r="G9" s="11"/>
      <c r="H9" s="32">
        <v>53.66</v>
      </c>
      <c r="I9" s="11"/>
      <c r="J9" s="1" t="s">
        <v>27</v>
      </c>
      <c r="K9" s="55">
        <f>K3</f>
        <v>89</v>
      </c>
    </row>
    <row r="10" spans="1:11" x14ac:dyDescent="0.35">
      <c r="B10" s="10" t="s">
        <v>9</v>
      </c>
      <c r="C10" s="2">
        <f>IF(SUM(D8-C9)&gt;108000,108000,SUM(D8-C9))</f>
        <v>0</v>
      </c>
      <c r="D10" s="1" t="s">
        <v>0</v>
      </c>
      <c r="E10" s="11">
        <v>2.48</v>
      </c>
      <c r="F10" s="12">
        <f>SUM(C10*E10/100)</f>
        <v>0</v>
      </c>
      <c r="G10" s="11"/>
      <c r="H10" s="33" t="s">
        <v>26</v>
      </c>
      <c r="J10" s="1" t="s">
        <v>28</v>
      </c>
      <c r="K10" s="36">
        <f>K8*K9</f>
        <v>1753.3</v>
      </c>
    </row>
    <row r="11" spans="1:11" x14ac:dyDescent="0.35">
      <c r="B11" s="10" t="s">
        <v>10</v>
      </c>
      <c r="C11" s="2">
        <f>IF(SUM(D8-C9-C10)&gt;120000,SUM(D8-C9-C10),SUM(D8-C9-C10))</f>
        <v>0</v>
      </c>
      <c r="D11" s="1" t="s">
        <v>0</v>
      </c>
      <c r="E11" s="11">
        <v>3.71</v>
      </c>
      <c r="F11" s="13">
        <f>SUM(C11*E11/100)</f>
        <v>0</v>
      </c>
      <c r="G11" s="11"/>
      <c r="H11" s="34">
        <f>D2/100*11.51</f>
        <v>227.55269999999999</v>
      </c>
      <c r="I11" s="11"/>
      <c r="J11" s="1" t="s">
        <v>26</v>
      </c>
      <c r="K11" s="34">
        <f>D8/100*10.43</f>
        <v>206.2011</v>
      </c>
    </row>
    <row r="12" spans="1:11" ht="17.25" thickBot="1" x14ac:dyDescent="0.4">
      <c r="B12" s="14"/>
      <c r="C12" s="15"/>
      <c r="D12" s="16"/>
      <c r="E12" s="16"/>
      <c r="F12" s="24">
        <f>SUM(F9:F11)</f>
        <v>39.144599999999997</v>
      </c>
      <c r="G12" s="11"/>
      <c r="H12" s="37">
        <f>SUM(H9+H11)</f>
        <v>281.21269999999998</v>
      </c>
      <c r="I12" s="30"/>
      <c r="J12" s="1" t="s">
        <v>29</v>
      </c>
      <c r="K12" s="37">
        <f>SUM(K10+K11)</f>
        <v>1959.5011</v>
      </c>
    </row>
    <row r="13" spans="1:11" s="4" customFormat="1" ht="3" customHeight="1" thickBot="1" x14ac:dyDescent="0.4">
      <c r="A13" s="25"/>
      <c r="B13" s="1"/>
      <c r="C13" s="2"/>
      <c r="D13" s="1"/>
      <c r="F13" s="11"/>
      <c r="G13" s="11"/>
      <c r="H13" s="1"/>
      <c r="I13" s="1"/>
      <c r="K13" s="1"/>
    </row>
    <row r="14" spans="1:11" ht="17.25" thickBot="1" x14ac:dyDescent="0.4">
      <c r="A14" s="46">
        <v>2026</v>
      </c>
      <c r="B14" s="18" t="s">
        <v>1</v>
      </c>
      <c r="C14" s="54" t="s">
        <v>20</v>
      </c>
      <c r="D14" s="44">
        <f>D2</f>
        <v>1977</v>
      </c>
      <c r="E14" s="8" t="s">
        <v>0</v>
      </c>
      <c r="F14" s="9"/>
      <c r="G14" s="11"/>
      <c r="H14" s="31" t="s">
        <v>25</v>
      </c>
      <c r="J14" s="1" t="s">
        <v>25</v>
      </c>
      <c r="K14" s="35">
        <v>20.100000000000001</v>
      </c>
    </row>
    <row r="15" spans="1:11" x14ac:dyDescent="0.35">
      <c r="B15" s="10" t="s">
        <v>8</v>
      </c>
      <c r="C15" s="2">
        <f>IF(D14&gt;12000,12000,D14)</f>
        <v>1977</v>
      </c>
      <c r="D15" s="1" t="s">
        <v>0</v>
      </c>
      <c r="E15" s="11">
        <v>2.0499999999999998</v>
      </c>
      <c r="F15" s="12">
        <f>SUM(C15*E15/100)</f>
        <v>40.528499999999994</v>
      </c>
      <c r="G15" s="11"/>
      <c r="H15" s="32">
        <v>54.73</v>
      </c>
      <c r="I15" s="11"/>
      <c r="J15" s="1" t="s">
        <v>27</v>
      </c>
      <c r="K15" s="55">
        <f>K3</f>
        <v>89</v>
      </c>
    </row>
    <row r="16" spans="1:11" x14ac:dyDescent="0.35">
      <c r="B16" s="10" t="s">
        <v>9</v>
      </c>
      <c r="C16" s="2">
        <f>IF(SUM(D14-C15)&gt;108000,108000,SUM(D14-C15))</f>
        <v>0</v>
      </c>
      <c r="D16" s="1" t="s">
        <v>0</v>
      </c>
      <c r="E16" s="11">
        <v>2.56</v>
      </c>
      <c r="F16" s="12">
        <f>SUM(C16*E16/100)</f>
        <v>0</v>
      </c>
      <c r="G16" s="11"/>
      <c r="H16" s="33" t="s">
        <v>26</v>
      </c>
      <c r="J16" s="1" t="s">
        <v>28</v>
      </c>
      <c r="K16" s="36">
        <f>K14*K15</f>
        <v>1788.9</v>
      </c>
    </row>
    <row r="17" spans="1:11" x14ac:dyDescent="0.35">
      <c r="B17" s="10" t="s">
        <v>10</v>
      </c>
      <c r="C17" s="2">
        <f>IF(SUM(D14-C15-C16)&gt;120000,SUM(D14-C15-C16),SUM(D14-C15-C16))</f>
        <v>0</v>
      </c>
      <c r="D17" s="1" t="s">
        <v>0</v>
      </c>
      <c r="E17" s="11">
        <v>3.84</v>
      </c>
      <c r="F17" s="13">
        <f>SUM(C17*E17/100)</f>
        <v>0</v>
      </c>
      <c r="G17" s="11"/>
      <c r="H17" s="34">
        <f>D2/100*11.74</f>
        <v>232.09979999999999</v>
      </c>
      <c r="I17" s="11"/>
      <c r="J17" s="1" t="s">
        <v>26</v>
      </c>
      <c r="K17" s="34">
        <f>D14/100*10.64</f>
        <v>210.3528</v>
      </c>
    </row>
    <row r="18" spans="1:11" ht="17.25" thickBot="1" x14ac:dyDescent="0.4">
      <c r="B18" s="14"/>
      <c r="C18" s="15"/>
      <c r="D18" s="16"/>
      <c r="E18" s="16"/>
      <c r="F18" s="24">
        <f>SUM(F15:F17)</f>
        <v>40.528499999999994</v>
      </c>
      <c r="G18" s="11"/>
      <c r="H18" s="37">
        <f>SUM(H15+H17)</f>
        <v>286.82979999999998</v>
      </c>
      <c r="I18" s="30"/>
      <c r="J18" s="1" t="s">
        <v>29</v>
      </c>
      <c r="K18" s="37">
        <f>SUM(K16+K17)</f>
        <v>1999.2528000000002</v>
      </c>
    </row>
    <row r="19" spans="1:11" ht="3" customHeight="1" thickBot="1" x14ac:dyDescent="0.4">
      <c r="C19" s="2"/>
      <c r="F19" s="11"/>
      <c r="G19" s="11"/>
    </row>
    <row r="20" spans="1:11" ht="17.25" thickBot="1" x14ac:dyDescent="0.4">
      <c r="A20" s="46">
        <v>2027</v>
      </c>
      <c r="B20" s="18" t="s">
        <v>1</v>
      </c>
      <c r="C20" s="54" t="s">
        <v>20</v>
      </c>
      <c r="D20" s="44">
        <f>D2</f>
        <v>1977</v>
      </c>
      <c r="E20" s="8" t="s">
        <v>0</v>
      </c>
      <c r="F20" s="9"/>
      <c r="G20" s="11"/>
      <c r="H20" s="31" t="s">
        <v>25</v>
      </c>
      <c r="J20" s="1" t="s">
        <v>25</v>
      </c>
      <c r="K20" s="35">
        <v>20.5</v>
      </c>
    </row>
    <row r="21" spans="1:11" x14ac:dyDescent="0.35">
      <c r="B21" s="10" t="s">
        <v>8</v>
      </c>
      <c r="C21" s="2">
        <f>IF(D20&gt;12000,12000,D20)</f>
        <v>1977</v>
      </c>
      <c r="D21" s="1" t="s">
        <v>0</v>
      </c>
      <c r="E21" s="11">
        <v>2.11</v>
      </c>
      <c r="F21" s="12">
        <f>SUM(C21*E21/100)</f>
        <v>41.714699999999993</v>
      </c>
      <c r="G21" s="11"/>
      <c r="H21" s="32">
        <v>55.83</v>
      </c>
      <c r="I21" s="11"/>
      <c r="J21" s="1" t="s">
        <v>27</v>
      </c>
      <c r="K21" s="55">
        <f>K3</f>
        <v>89</v>
      </c>
    </row>
    <row r="22" spans="1:11" x14ac:dyDescent="0.35">
      <c r="B22" s="10" t="s">
        <v>9</v>
      </c>
      <c r="C22" s="2">
        <f>IF(SUM(D20-C21)&gt;108000,108000,SUM(D20-C21))</f>
        <v>0</v>
      </c>
      <c r="D22" s="1" t="s">
        <v>0</v>
      </c>
      <c r="E22" s="11">
        <v>2.64</v>
      </c>
      <c r="F22" s="12">
        <f>SUM(C22*E22/100)</f>
        <v>0</v>
      </c>
      <c r="G22" s="11"/>
      <c r="H22" s="33" t="s">
        <v>26</v>
      </c>
      <c r="J22" s="1" t="s">
        <v>28</v>
      </c>
      <c r="K22" s="36">
        <f>K20*K21</f>
        <v>1824.5</v>
      </c>
    </row>
    <row r="23" spans="1:11" x14ac:dyDescent="0.35">
      <c r="B23" s="10" t="s">
        <v>10</v>
      </c>
      <c r="C23" s="2">
        <f>IF(SUM(D20-C21-C22)&gt;120000,SUM(D20-C21-C22),SUM(D20-C21-C22))</f>
        <v>0</v>
      </c>
      <c r="D23" s="1" t="s">
        <v>0</v>
      </c>
      <c r="E23" s="11">
        <v>3.96</v>
      </c>
      <c r="F23" s="13">
        <f>SUM(C23*E23/100)</f>
        <v>0</v>
      </c>
      <c r="G23" s="11"/>
      <c r="H23" s="34">
        <f>D2/100*11.98</f>
        <v>236.84460000000001</v>
      </c>
      <c r="I23" s="11"/>
      <c r="J23" s="1" t="s">
        <v>26</v>
      </c>
      <c r="K23" s="34">
        <f>D20/100*10.85</f>
        <v>214.50449999999998</v>
      </c>
    </row>
    <row r="24" spans="1:11" ht="17.25" thickBot="1" x14ac:dyDescent="0.4">
      <c r="B24" s="14"/>
      <c r="C24" s="15"/>
      <c r="D24" s="16"/>
      <c r="E24" s="16"/>
      <c r="F24" s="24">
        <f>SUM(F21:F23)</f>
        <v>41.714699999999993</v>
      </c>
      <c r="G24" s="11"/>
      <c r="H24" s="37">
        <f>SUM(H21+H23)</f>
        <v>292.6746</v>
      </c>
      <c r="I24" s="30"/>
      <c r="J24" s="1" t="s">
        <v>29</v>
      </c>
      <c r="K24" s="37">
        <f>SUM(K22+K23)</f>
        <v>2039.0045</v>
      </c>
    </row>
    <row r="25" spans="1:11" s="4" customFormat="1" ht="3" customHeight="1" thickBot="1" x14ac:dyDescent="0.4">
      <c r="A25" s="25"/>
      <c r="B25" s="1"/>
      <c r="C25" s="1"/>
      <c r="D25" s="1"/>
      <c r="E25" s="1"/>
      <c r="F25" s="11"/>
      <c r="G25" s="11"/>
      <c r="H25" s="1"/>
      <c r="I25" s="1"/>
      <c r="K25" s="1"/>
    </row>
    <row r="26" spans="1:11" ht="17.25" thickBot="1" x14ac:dyDescent="0.4">
      <c r="A26" s="46">
        <v>2028</v>
      </c>
      <c r="B26" s="18" t="s">
        <v>1</v>
      </c>
      <c r="C26" s="54" t="s">
        <v>20</v>
      </c>
      <c r="D26" s="44">
        <f>D2</f>
        <v>1977</v>
      </c>
      <c r="E26" s="8" t="s">
        <v>0</v>
      </c>
      <c r="F26" s="9"/>
      <c r="G26" s="11"/>
      <c r="H26" s="31" t="s">
        <v>25</v>
      </c>
      <c r="J26" s="1" t="s">
        <v>25</v>
      </c>
      <c r="K26" s="35">
        <v>21.32</v>
      </c>
    </row>
    <row r="27" spans="1:11" x14ac:dyDescent="0.35">
      <c r="B27" s="10" t="s">
        <v>8</v>
      </c>
      <c r="C27" s="2">
        <f>IF(D26&gt;12000,12000,D26)</f>
        <v>1977</v>
      </c>
      <c r="D27" s="1" t="s">
        <v>0</v>
      </c>
      <c r="E27" s="11">
        <v>2.1800000000000002</v>
      </c>
      <c r="F27" s="12">
        <f>SUM(C27*E27/100)</f>
        <v>43.098600000000005</v>
      </c>
      <c r="G27" s="11"/>
      <c r="H27" s="32">
        <v>56.94</v>
      </c>
      <c r="I27" s="11"/>
      <c r="J27" s="1" t="s">
        <v>27</v>
      </c>
      <c r="K27" s="55">
        <f>K3</f>
        <v>89</v>
      </c>
    </row>
    <row r="28" spans="1:11" x14ac:dyDescent="0.35">
      <c r="B28" s="10" t="s">
        <v>9</v>
      </c>
      <c r="C28" s="2">
        <f>IF(SUM(D26-C27)&gt;108000,108000,SUM(D26-C27))</f>
        <v>0</v>
      </c>
      <c r="D28" s="1" t="s">
        <v>0</v>
      </c>
      <c r="E28" s="11">
        <v>2.72</v>
      </c>
      <c r="F28" s="12">
        <f>SUM(C28*E28/100)</f>
        <v>0</v>
      </c>
      <c r="G28" s="11"/>
      <c r="H28" s="33" t="s">
        <v>26</v>
      </c>
      <c r="J28" s="1" t="s">
        <v>28</v>
      </c>
      <c r="K28" s="36">
        <f>K26*K27</f>
        <v>1897.48</v>
      </c>
    </row>
    <row r="29" spans="1:11" x14ac:dyDescent="0.35">
      <c r="B29" s="10" t="s">
        <v>10</v>
      </c>
      <c r="C29" s="2">
        <f>IF(SUM(D26-C27-C28)&gt;120000,SUM(D26-C27-C28),SUM(D26-C27-C28))</f>
        <v>0</v>
      </c>
      <c r="D29" s="1" t="s">
        <v>0</v>
      </c>
      <c r="E29" s="11">
        <v>4.08</v>
      </c>
      <c r="F29" s="13">
        <f>SUM(C29*E29/100)</f>
        <v>0</v>
      </c>
      <c r="G29" s="11"/>
      <c r="H29" s="34">
        <f>D2/100*12.09</f>
        <v>239.01929999999999</v>
      </c>
      <c r="I29" s="11"/>
      <c r="J29" s="1" t="s">
        <v>26</v>
      </c>
      <c r="K29" s="34">
        <f>D26/100*11.28</f>
        <v>223.00559999999999</v>
      </c>
    </row>
    <row r="30" spans="1:11" ht="17.25" thickBot="1" x14ac:dyDescent="0.4">
      <c r="B30" s="14"/>
      <c r="C30" s="15"/>
      <c r="D30" s="16"/>
      <c r="E30" s="16"/>
      <c r="F30" s="24">
        <f>SUM(F27:F29)</f>
        <v>43.098600000000005</v>
      </c>
      <c r="G30" s="11"/>
      <c r="H30" s="37">
        <f>SUM(H27+H29)</f>
        <v>295.95929999999998</v>
      </c>
      <c r="I30" s="30"/>
      <c r="J30" s="1" t="s">
        <v>29</v>
      </c>
      <c r="K30" s="37">
        <f>SUM(K28+K29)</f>
        <v>2120.4856</v>
      </c>
    </row>
    <row r="31" spans="1:11" x14ac:dyDescent="0.35">
      <c r="F31" s="6"/>
      <c r="G31" s="29"/>
    </row>
    <row r="32" spans="1:11" x14ac:dyDescent="0.35">
      <c r="G32" s="11"/>
    </row>
  </sheetData>
  <pageMargins left="0.75" right="0.75" top="1" bottom="1" header="0.5" footer="0.5"/>
  <pageSetup orientation="portrait" r:id="rId1"/>
  <headerFooter alignWithMargins="0"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31"/>
  <sheetViews>
    <sheetView zoomScale="80" zoomScaleNormal="80" workbookViewId="0">
      <selection activeCell="D3" sqref="D3"/>
    </sheetView>
  </sheetViews>
  <sheetFormatPr defaultRowHeight="16.5" x14ac:dyDescent="0.35"/>
  <cols>
    <col min="1" max="1" width="6.28515625" style="23" bestFit="1" customWidth="1"/>
    <col min="2" max="2" width="21.7109375" style="1" customWidth="1"/>
    <col min="3" max="5" width="14.7109375" style="1" customWidth="1"/>
    <col min="6" max="6" width="14.7109375" style="4" customWidth="1"/>
    <col min="7" max="16384" width="9.140625" style="1"/>
  </cols>
  <sheetData>
    <row r="1" spans="1:6" ht="3" customHeight="1" thickBot="1" x14ac:dyDescent="0.4">
      <c r="D1" s="2"/>
    </row>
    <row r="2" spans="1:6" ht="17.25" thickBot="1" x14ac:dyDescent="0.4">
      <c r="A2" s="46">
        <v>2024</v>
      </c>
      <c r="B2" s="18" t="s">
        <v>1</v>
      </c>
      <c r="C2" s="54" t="s">
        <v>20</v>
      </c>
      <c r="D2" s="44">
        <v>2092</v>
      </c>
      <c r="E2" s="8" t="s">
        <v>0</v>
      </c>
      <c r="F2" s="9"/>
    </row>
    <row r="3" spans="1:6" x14ac:dyDescent="0.35">
      <c r="B3" s="10" t="s">
        <v>4</v>
      </c>
      <c r="C3" s="2">
        <f>IF(D2&gt;300,300,D2)</f>
        <v>300</v>
      </c>
      <c r="D3" s="1" t="s">
        <v>0</v>
      </c>
      <c r="E3" s="11">
        <v>1.67</v>
      </c>
      <c r="F3" s="12">
        <f>SUM(C3*E3/100)</f>
        <v>5.01</v>
      </c>
    </row>
    <row r="4" spans="1:6" x14ac:dyDescent="0.35">
      <c r="B4" s="10" t="s">
        <v>11</v>
      </c>
      <c r="C4" s="2">
        <f>IF(SUM(D2-C3)&gt;500,500,SUM(D2-C3))</f>
        <v>500</v>
      </c>
      <c r="D4" s="1" t="s">
        <v>0</v>
      </c>
      <c r="E4" s="11">
        <v>2.5099999999999998</v>
      </c>
      <c r="F4" s="12">
        <f>SUM(C4*E4/100)</f>
        <v>12.55</v>
      </c>
    </row>
    <row r="5" spans="1:6" x14ac:dyDescent="0.35">
      <c r="B5" s="10" t="s">
        <v>12</v>
      </c>
      <c r="C5" s="2">
        <f>IF(SUM(D2-C3-C4)&gt;301,SUM(D2-C3-C4),SUM(D2-C3-C4))</f>
        <v>1292</v>
      </c>
      <c r="D5" s="1" t="s">
        <v>0</v>
      </c>
      <c r="E5" s="11">
        <v>5.0199999999999996</v>
      </c>
      <c r="F5" s="13">
        <f>SUM(C5*E5/100)</f>
        <v>64.858399999999989</v>
      </c>
    </row>
    <row r="6" spans="1:6" ht="17.25" thickBot="1" x14ac:dyDescent="0.4">
      <c r="B6" s="14"/>
      <c r="C6" s="15"/>
      <c r="D6" s="16"/>
      <c r="E6" s="16"/>
      <c r="F6" s="17">
        <f>SUM(F3:F5)</f>
        <v>82.418399999999991</v>
      </c>
    </row>
    <row r="7" spans="1:6" ht="3" customHeight="1" thickBot="1" x14ac:dyDescent="0.4"/>
    <row r="8" spans="1:6" ht="17.25" thickBot="1" x14ac:dyDescent="0.4">
      <c r="A8" s="46">
        <v>2025</v>
      </c>
      <c r="B8" s="18" t="s">
        <v>1</v>
      </c>
      <c r="C8" s="54" t="s">
        <v>20</v>
      </c>
      <c r="D8" s="44">
        <f>D2</f>
        <v>2092</v>
      </c>
      <c r="E8" s="8" t="s">
        <v>0</v>
      </c>
      <c r="F8" s="9"/>
    </row>
    <row r="9" spans="1:6" x14ac:dyDescent="0.35">
      <c r="B9" s="10" t="s">
        <v>4</v>
      </c>
      <c r="C9" s="2">
        <f>IF(D8&gt;300,300,D8)</f>
        <v>300</v>
      </c>
      <c r="D9" s="1" t="s">
        <v>0</v>
      </c>
      <c r="E9" s="11">
        <v>1.87</v>
      </c>
      <c r="F9" s="12">
        <f>SUM(C9*E9/100)</f>
        <v>5.61</v>
      </c>
    </row>
    <row r="10" spans="1:6" x14ac:dyDescent="0.35">
      <c r="B10" s="10" t="s">
        <v>11</v>
      </c>
      <c r="C10" s="2">
        <f>IF(SUM(D8-C9)&gt;500,500,SUM(D8-C9))</f>
        <v>500</v>
      </c>
      <c r="D10" s="1" t="s">
        <v>0</v>
      </c>
      <c r="E10" s="11">
        <v>2.81</v>
      </c>
      <c r="F10" s="12">
        <f>SUM(C10*E10/100)</f>
        <v>14.05</v>
      </c>
    </row>
    <row r="11" spans="1:6" x14ac:dyDescent="0.35">
      <c r="B11" s="10" t="s">
        <v>12</v>
      </c>
      <c r="C11" s="2">
        <f>IF(SUM(D8-C9-C10)&gt;301,SUM(D8-C9-C10),SUM(D8-C9-C10))</f>
        <v>1292</v>
      </c>
      <c r="D11" s="1" t="s">
        <v>0</v>
      </c>
      <c r="E11" s="11">
        <v>5.61</v>
      </c>
      <c r="F11" s="13">
        <f>SUM(C11*E11/100)</f>
        <v>72.481200000000001</v>
      </c>
    </row>
    <row r="12" spans="1:6" ht="17.25" thickBot="1" x14ac:dyDescent="0.4">
      <c r="B12" s="14"/>
      <c r="C12" s="15"/>
      <c r="D12" s="16"/>
      <c r="E12" s="16"/>
      <c r="F12" s="17">
        <f>SUM(F9:F11)</f>
        <v>92.141199999999998</v>
      </c>
    </row>
    <row r="13" spans="1:6" s="4" customFormat="1" ht="3" customHeight="1" thickBot="1" x14ac:dyDescent="0.4">
      <c r="A13" s="25"/>
      <c r="B13" s="1"/>
      <c r="C13" s="2"/>
      <c r="D13" s="1"/>
    </row>
    <row r="14" spans="1:6" ht="17.25" thickBot="1" x14ac:dyDescent="0.4">
      <c r="A14" s="46">
        <v>2026</v>
      </c>
      <c r="B14" s="18" t="s">
        <v>1</v>
      </c>
      <c r="C14" s="54" t="s">
        <v>20</v>
      </c>
      <c r="D14" s="44">
        <f>D2</f>
        <v>2092</v>
      </c>
      <c r="E14" s="8" t="s">
        <v>0</v>
      </c>
      <c r="F14" s="9"/>
    </row>
    <row r="15" spans="1:6" x14ac:dyDescent="0.35">
      <c r="B15" s="10" t="s">
        <v>4</v>
      </c>
      <c r="C15" s="2">
        <f>IF(D14&gt;300,300,D14)</f>
        <v>300</v>
      </c>
      <c r="D15" s="1" t="s">
        <v>0</v>
      </c>
      <c r="E15" s="11">
        <v>2.08</v>
      </c>
      <c r="F15" s="12">
        <f>SUM(C15*E15/100)</f>
        <v>6.24</v>
      </c>
    </row>
    <row r="16" spans="1:6" x14ac:dyDescent="0.35">
      <c r="B16" s="10" t="s">
        <v>11</v>
      </c>
      <c r="C16" s="2">
        <f>IF(SUM(D14-C15)&gt;500,500,SUM(D14-C15))</f>
        <v>500</v>
      </c>
      <c r="D16" s="1" t="s">
        <v>0</v>
      </c>
      <c r="E16" s="11">
        <v>3.11</v>
      </c>
      <c r="F16" s="12">
        <f>SUM(C16*E16/100)</f>
        <v>15.55</v>
      </c>
    </row>
    <row r="17" spans="1:6" x14ac:dyDescent="0.35">
      <c r="B17" s="10" t="s">
        <v>12</v>
      </c>
      <c r="C17" s="2">
        <f>IF(SUM(D14-C15-C16)&gt;301,SUM(D14-C15-C16),SUM(D14-C15-C16))</f>
        <v>1292</v>
      </c>
      <c r="D17" s="1" t="s">
        <v>0</v>
      </c>
      <c r="E17" s="11">
        <v>6.23</v>
      </c>
      <c r="F17" s="13">
        <f>SUM(C17*E17/100)</f>
        <v>80.491600000000005</v>
      </c>
    </row>
    <row r="18" spans="1:6" ht="17.25" thickBot="1" x14ac:dyDescent="0.4">
      <c r="B18" s="14"/>
      <c r="C18" s="15"/>
      <c r="D18" s="16"/>
      <c r="E18" s="16"/>
      <c r="F18" s="17">
        <f>SUM(F15:F17)</f>
        <v>102.2816</v>
      </c>
    </row>
    <row r="19" spans="1:6" ht="3" customHeight="1" thickBot="1" x14ac:dyDescent="0.4">
      <c r="C19" s="2"/>
    </row>
    <row r="20" spans="1:6" ht="17.25" thickBot="1" x14ac:dyDescent="0.4">
      <c r="A20" s="46">
        <v>2027</v>
      </c>
      <c r="B20" s="18" t="s">
        <v>1</v>
      </c>
      <c r="C20" s="54" t="s">
        <v>20</v>
      </c>
      <c r="D20" s="44">
        <f>D2</f>
        <v>2092</v>
      </c>
      <c r="E20" s="8" t="s">
        <v>0</v>
      </c>
      <c r="F20" s="9"/>
    </row>
    <row r="21" spans="1:6" x14ac:dyDescent="0.35">
      <c r="B21" s="10" t="s">
        <v>4</v>
      </c>
      <c r="C21" s="2">
        <f>IF(D20&gt;300,300,D20)</f>
        <v>300</v>
      </c>
      <c r="D21" s="1" t="s">
        <v>0</v>
      </c>
      <c r="E21" s="11">
        <v>2.2200000000000002</v>
      </c>
      <c r="F21" s="12">
        <f>SUM(C21*E21/100)</f>
        <v>6.660000000000001</v>
      </c>
    </row>
    <row r="22" spans="1:6" x14ac:dyDescent="0.35">
      <c r="B22" s="10" t="s">
        <v>11</v>
      </c>
      <c r="C22" s="2">
        <f>IF(SUM(D20-C21)&gt;500,500,SUM(D20-C21))</f>
        <v>500</v>
      </c>
      <c r="D22" s="1" t="s">
        <v>0</v>
      </c>
      <c r="E22" s="11">
        <v>3.33</v>
      </c>
      <c r="F22" s="12">
        <f>SUM(C22*E22/100)</f>
        <v>16.649999999999999</v>
      </c>
    </row>
    <row r="23" spans="1:6" x14ac:dyDescent="0.35">
      <c r="B23" s="10" t="s">
        <v>12</v>
      </c>
      <c r="C23" s="2">
        <f>IF(SUM(D20-C21-C22)&gt;301,SUM(D20-C21-C22),SUM(D20-C21-C22))</f>
        <v>1292</v>
      </c>
      <c r="D23" s="1" t="s">
        <v>0</v>
      </c>
      <c r="E23" s="11">
        <v>6.66</v>
      </c>
      <c r="F23" s="13">
        <f>SUM(C23*E23/100)</f>
        <v>86.047199999999989</v>
      </c>
    </row>
    <row r="24" spans="1:6" ht="17.25" thickBot="1" x14ac:dyDescent="0.4">
      <c r="B24" s="14"/>
      <c r="C24" s="15"/>
      <c r="D24" s="16"/>
      <c r="E24" s="16"/>
      <c r="F24" s="17">
        <f>SUM(F21:F23)</f>
        <v>109.35719999999999</v>
      </c>
    </row>
    <row r="25" spans="1:6" s="4" customFormat="1" ht="3" customHeight="1" thickBot="1" x14ac:dyDescent="0.4">
      <c r="A25" s="25"/>
      <c r="B25" s="1"/>
      <c r="C25" s="1"/>
      <c r="D25" s="1"/>
      <c r="E25" s="1"/>
    </row>
    <row r="26" spans="1:6" ht="17.25" thickBot="1" x14ac:dyDescent="0.4">
      <c r="A26" s="46">
        <v>2028</v>
      </c>
      <c r="B26" s="18" t="s">
        <v>1</v>
      </c>
      <c r="C26" s="54" t="s">
        <v>20</v>
      </c>
      <c r="D26" s="44">
        <f>D2</f>
        <v>2092</v>
      </c>
      <c r="E26" s="8" t="s">
        <v>0</v>
      </c>
      <c r="F26" s="9"/>
    </row>
    <row r="27" spans="1:6" x14ac:dyDescent="0.35">
      <c r="B27" s="10" t="s">
        <v>4</v>
      </c>
      <c r="C27" s="2">
        <f>IF(D26&gt;300,300,D26)</f>
        <v>300</v>
      </c>
      <c r="D27" s="1" t="s">
        <v>0</v>
      </c>
      <c r="E27" s="11">
        <v>2.46</v>
      </c>
      <c r="F27" s="12">
        <f>SUM(C27*E27/100)</f>
        <v>7.38</v>
      </c>
    </row>
    <row r="28" spans="1:6" x14ac:dyDescent="0.35">
      <c r="B28" s="10" t="s">
        <v>11</v>
      </c>
      <c r="C28" s="2">
        <f>IF(SUM(D26-C27)&gt;500,500,SUM(D26-C27))</f>
        <v>500</v>
      </c>
      <c r="D28" s="1" t="s">
        <v>0</v>
      </c>
      <c r="E28" s="11">
        <v>3.7</v>
      </c>
      <c r="F28" s="12">
        <f>SUM(C28*E28/100)</f>
        <v>18.5</v>
      </c>
    </row>
    <row r="29" spans="1:6" x14ac:dyDescent="0.35">
      <c r="B29" s="10" t="s">
        <v>12</v>
      </c>
      <c r="C29" s="2">
        <f>IF(SUM(D26-C27-C28)&gt;301,SUM(D26-C27-C28),SUM(D26-C27-C28))</f>
        <v>1292</v>
      </c>
      <c r="D29" s="1" t="s">
        <v>0</v>
      </c>
      <c r="E29" s="11">
        <v>7.39</v>
      </c>
      <c r="F29" s="13">
        <f>SUM(C29*E29/100)</f>
        <v>95.478799999999993</v>
      </c>
    </row>
    <row r="30" spans="1:6" ht="17.25" thickBot="1" x14ac:dyDescent="0.4">
      <c r="B30" s="14"/>
      <c r="C30" s="15"/>
      <c r="D30" s="16"/>
      <c r="E30" s="16"/>
      <c r="F30" s="17">
        <f>SUM(F27:F29)</f>
        <v>121.35879999999999</v>
      </c>
    </row>
    <row r="31" spans="1:6" x14ac:dyDescent="0.35">
      <c r="F31" s="6"/>
    </row>
  </sheetData>
  <pageMargins left="0.75" right="0.75" top="1" bottom="1" header="0.5" footer="0.5"/>
  <pageSetup orientation="portrait" r:id="rId1"/>
  <headerFooter alignWithMargins="0">
    <oddHeader>&amp;C&amp;A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31"/>
  <sheetViews>
    <sheetView zoomScale="80" zoomScaleNormal="80" workbookViewId="0">
      <selection activeCell="D3" sqref="D3"/>
    </sheetView>
  </sheetViews>
  <sheetFormatPr defaultRowHeight="16.5" x14ac:dyDescent="0.35"/>
  <cols>
    <col min="1" max="1" width="6.28515625" style="23" bestFit="1" customWidth="1"/>
    <col min="2" max="2" width="21.7109375" style="1" customWidth="1"/>
    <col min="3" max="5" width="14.7109375" style="1" customWidth="1"/>
    <col min="6" max="6" width="14.7109375" style="4" customWidth="1"/>
    <col min="7" max="16384" width="9.140625" style="1"/>
  </cols>
  <sheetData>
    <row r="1" spans="1:6" ht="3" customHeight="1" thickBot="1" x14ac:dyDescent="0.4">
      <c r="D1" s="2"/>
    </row>
    <row r="2" spans="1:6" ht="17.25" thickBot="1" x14ac:dyDescent="0.4">
      <c r="A2" s="46">
        <v>2024</v>
      </c>
      <c r="B2" s="18" t="s">
        <v>1</v>
      </c>
      <c r="C2" s="54" t="s">
        <v>20</v>
      </c>
      <c r="D2" s="39">
        <v>62290</v>
      </c>
      <c r="E2" s="8" t="s">
        <v>0</v>
      </c>
      <c r="F2" s="9"/>
    </row>
    <row r="3" spans="1:6" x14ac:dyDescent="0.35">
      <c r="B3" s="10" t="s">
        <v>13</v>
      </c>
      <c r="C3" s="2">
        <f>IF(D2&gt;1500,1500,D2)</f>
        <v>1500</v>
      </c>
      <c r="D3" s="1" t="s">
        <v>0</v>
      </c>
      <c r="E3" s="11">
        <v>1.96</v>
      </c>
      <c r="F3" s="12">
        <f>SUM(C3*E3/100)</f>
        <v>29.4</v>
      </c>
    </row>
    <row r="4" spans="1:6" x14ac:dyDescent="0.35">
      <c r="B4" s="10" t="s">
        <v>14</v>
      </c>
      <c r="C4" s="2">
        <f>IF(SUM(D2-C3)&gt;2000,2000,SUM(D2-C3))</f>
        <v>2000</v>
      </c>
      <c r="D4" s="1" t="s">
        <v>0</v>
      </c>
      <c r="E4" s="11">
        <v>2.4500000000000002</v>
      </c>
      <c r="F4" s="12">
        <f>SUM(C4*E4/100)</f>
        <v>49</v>
      </c>
    </row>
    <row r="5" spans="1:6" x14ac:dyDescent="0.35">
      <c r="B5" s="10" t="s">
        <v>15</v>
      </c>
      <c r="C5" s="2">
        <f>IF(SUM(D2-C3-C4)&gt;1501,SUM(D2-C3-C4),SUM(D2-C3-C4))</f>
        <v>58790</v>
      </c>
      <c r="D5" s="1" t="s">
        <v>0</v>
      </c>
      <c r="E5" s="11">
        <v>3.67</v>
      </c>
      <c r="F5" s="13">
        <f>SUM(C5*E5/100)</f>
        <v>2157.5929999999998</v>
      </c>
    </row>
    <row r="6" spans="1:6" ht="17.25" thickBot="1" x14ac:dyDescent="0.4">
      <c r="B6" s="14"/>
      <c r="C6" s="15"/>
      <c r="D6" s="16"/>
      <c r="E6" s="16"/>
      <c r="F6" s="17">
        <f>SUM(F3:F5)</f>
        <v>2235.9929999999999</v>
      </c>
    </row>
    <row r="7" spans="1:6" ht="3" customHeight="1" thickBot="1" x14ac:dyDescent="0.4"/>
    <row r="8" spans="1:6" ht="17.25" thickBot="1" x14ac:dyDescent="0.4">
      <c r="A8" s="46">
        <v>2025</v>
      </c>
      <c r="B8" s="18" t="s">
        <v>1</v>
      </c>
      <c r="C8" s="54" t="s">
        <v>20</v>
      </c>
      <c r="D8" s="44">
        <f>D2</f>
        <v>62290</v>
      </c>
      <c r="E8" s="8" t="s">
        <v>0</v>
      </c>
      <c r="F8" s="9"/>
    </row>
    <row r="9" spans="1:6" x14ac:dyDescent="0.35">
      <c r="B9" s="10" t="s">
        <v>13</v>
      </c>
      <c r="C9" s="2">
        <f>IF(D8&gt;1500,1500,D8)</f>
        <v>1500</v>
      </c>
      <c r="D9" s="1" t="s">
        <v>0</v>
      </c>
      <c r="E9" s="11">
        <v>2.19</v>
      </c>
      <c r="F9" s="12">
        <f>SUM(C9*E9/100)</f>
        <v>32.85</v>
      </c>
    </row>
    <row r="10" spans="1:6" x14ac:dyDescent="0.35">
      <c r="B10" s="10" t="s">
        <v>14</v>
      </c>
      <c r="C10" s="2">
        <f>IF(SUM(D8-C9)&gt;2000,2000,SUM(D8-C9))</f>
        <v>2000</v>
      </c>
      <c r="D10" s="1" t="s">
        <v>0</v>
      </c>
      <c r="E10" s="11">
        <v>2.74</v>
      </c>
      <c r="F10" s="12">
        <f>SUM(C10*E10/100)</f>
        <v>54.8</v>
      </c>
    </row>
    <row r="11" spans="1:6" x14ac:dyDescent="0.35">
      <c r="B11" s="10" t="s">
        <v>15</v>
      </c>
      <c r="C11" s="2">
        <f>IF(SUM(D8-C9-C10)&gt;1501,SUM(D8-C9-C10),SUM(D8-C9-C10))</f>
        <v>58790</v>
      </c>
      <c r="D11" s="1" t="s">
        <v>0</v>
      </c>
      <c r="E11" s="11">
        <v>4.1100000000000003</v>
      </c>
      <c r="F11" s="13">
        <f>SUM(C11*E11/100)</f>
        <v>2416.2690000000002</v>
      </c>
    </row>
    <row r="12" spans="1:6" ht="17.25" thickBot="1" x14ac:dyDescent="0.4">
      <c r="B12" s="14"/>
      <c r="C12" s="15"/>
      <c r="D12" s="16"/>
      <c r="E12" s="16"/>
      <c r="F12" s="17">
        <f>SUM(F9:F11)</f>
        <v>2503.9190000000003</v>
      </c>
    </row>
    <row r="13" spans="1:6" s="4" customFormat="1" ht="3" customHeight="1" thickBot="1" x14ac:dyDescent="0.4">
      <c r="A13" s="25"/>
      <c r="B13" s="1"/>
      <c r="C13" s="2"/>
      <c r="D13" s="1"/>
    </row>
    <row r="14" spans="1:6" ht="17.25" thickBot="1" x14ac:dyDescent="0.4">
      <c r="A14" s="46">
        <v>2026</v>
      </c>
      <c r="B14" s="18" t="s">
        <v>1</v>
      </c>
      <c r="C14" s="54" t="s">
        <v>20</v>
      </c>
      <c r="D14" s="44">
        <f>D2</f>
        <v>62290</v>
      </c>
      <c r="E14" s="8" t="s">
        <v>0</v>
      </c>
      <c r="F14" s="9"/>
    </row>
    <row r="15" spans="1:6" x14ac:dyDescent="0.35">
      <c r="B15" s="10" t="s">
        <v>13</v>
      </c>
      <c r="C15" s="2">
        <f>IF(D14&gt;1500,1500,D14)</f>
        <v>1500</v>
      </c>
      <c r="D15" s="1" t="s">
        <v>0</v>
      </c>
      <c r="E15" s="11">
        <v>2.4300000000000002</v>
      </c>
      <c r="F15" s="12">
        <f>SUM(C15*E15/100)</f>
        <v>36.450000000000003</v>
      </c>
    </row>
    <row r="16" spans="1:6" x14ac:dyDescent="0.35">
      <c r="B16" s="10" t="s">
        <v>14</v>
      </c>
      <c r="C16" s="2">
        <f>IF(SUM(D14-C15)&gt;2000,2000,SUM(D14-C15))</f>
        <v>2000</v>
      </c>
      <c r="D16" s="1" t="s">
        <v>0</v>
      </c>
      <c r="E16" s="11">
        <v>3.04</v>
      </c>
      <c r="F16" s="12">
        <f>SUM(C16*E16/100)</f>
        <v>60.8</v>
      </c>
    </row>
    <row r="17" spans="1:6" x14ac:dyDescent="0.35">
      <c r="B17" s="10" t="s">
        <v>15</v>
      </c>
      <c r="C17" s="2">
        <f>IF(SUM(D14-C15-C16)&gt;1501,SUM(D14-C15-C16),SUM(D14-C15-C16))</f>
        <v>58790</v>
      </c>
      <c r="D17" s="1" t="s">
        <v>0</v>
      </c>
      <c r="E17" s="11">
        <v>4.5599999999999996</v>
      </c>
      <c r="F17" s="13">
        <f>SUM(C17*E17/100)</f>
        <v>2680.8239999999996</v>
      </c>
    </row>
    <row r="18" spans="1:6" ht="17.25" thickBot="1" x14ac:dyDescent="0.4">
      <c r="B18" s="14"/>
      <c r="C18" s="15"/>
      <c r="D18" s="16"/>
      <c r="E18" s="16"/>
      <c r="F18" s="17">
        <f>SUM(F15:F17)</f>
        <v>2778.0739999999996</v>
      </c>
    </row>
    <row r="19" spans="1:6" ht="3" customHeight="1" thickBot="1" x14ac:dyDescent="0.4">
      <c r="C19" s="2"/>
    </row>
    <row r="20" spans="1:6" ht="17.25" thickBot="1" x14ac:dyDescent="0.4">
      <c r="A20" s="46">
        <v>2027</v>
      </c>
      <c r="B20" s="18" t="s">
        <v>1</v>
      </c>
      <c r="C20" s="54" t="s">
        <v>20</v>
      </c>
      <c r="D20" s="44">
        <f>D2</f>
        <v>62290</v>
      </c>
      <c r="E20" s="8" t="s">
        <v>0</v>
      </c>
      <c r="F20" s="9"/>
    </row>
    <row r="21" spans="1:6" x14ac:dyDescent="0.35">
      <c r="B21" s="10" t="s">
        <v>13</v>
      </c>
      <c r="C21" s="2">
        <f>IF(D20&gt;1500,1500,D20)</f>
        <v>1500</v>
      </c>
      <c r="D21" s="1" t="s">
        <v>0</v>
      </c>
      <c r="E21" s="11">
        <v>2.7</v>
      </c>
      <c r="F21" s="12">
        <f>SUM(C21*E21/100)</f>
        <v>40.500000000000007</v>
      </c>
    </row>
    <row r="22" spans="1:6" x14ac:dyDescent="0.35">
      <c r="B22" s="10" t="s">
        <v>14</v>
      </c>
      <c r="C22" s="2">
        <f>IF(SUM(D20-C21)&gt;2000,2000,SUM(D20-C21))</f>
        <v>2000</v>
      </c>
      <c r="D22" s="1" t="s">
        <v>0</v>
      </c>
      <c r="E22" s="11">
        <v>3.38</v>
      </c>
      <c r="F22" s="12">
        <f>SUM(C22*E22/100)</f>
        <v>67.599999999999994</v>
      </c>
    </row>
    <row r="23" spans="1:6" x14ac:dyDescent="0.35">
      <c r="B23" s="10" t="s">
        <v>15</v>
      </c>
      <c r="C23" s="2">
        <f>IF(SUM(D20-C21-C22)&gt;1501,SUM(D20-C21-C22),SUM(D20-C21-C22))</f>
        <v>58790</v>
      </c>
      <c r="D23" s="1" t="s">
        <v>0</v>
      </c>
      <c r="E23" s="11">
        <v>5.07</v>
      </c>
      <c r="F23" s="13">
        <f>SUM(C23*E23/100)</f>
        <v>2980.6529999999998</v>
      </c>
    </row>
    <row r="24" spans="1:6" ht="17.25" thickBot="1" x14ac:dyDescent="0.4">
      <c r="B24" s="14"/>
      <c r="C24" s="15"/>
      <c r="D24" s="16"/>
      <c r="E24" s="16"/>
      <c r="F24" s="17">
        <f>SUM(F21:F23)</f>
        <v>3088.7529999999997</v>
      </c>
    </row>
    <row r="25" spans="1:6" s="4" customFormat="1" ht="3" customHeight="1" thickBot="1" x14ac:dyDescent="0.4">
      <c r="A25" s="25"/>
      <c r="B25" s="1"/>
      <c r="C25" s="1"/>
      <c r="D25" s="1"/>
      <c r="E25" s="1"/>
    </row>
    <row r="26" spans="1:6" ht="17.25" thickBot="1" x14ac:dyDescent="0.4">
      <c r="A26" s="46">
        <v>2028</v>
      </c>
      <c r="B26" s="18" t="s">
        <v>1</v>
      </c>
      <c r="C26" s="54" t="s">
        <v>20</v>
      </c>
      <c r="D26" s="44">
        <f>D2</f>
        <v>62290</v>
      </c>
      <c r="E26" s="8" t="s">
        <v>0</v>
      </c>
      <c r="F26" s="9"/>
    </row>
    <row r="27" spans="1:6" x14ac:dyDescent="0.35">
      <c r="B27" s="10" t="s">
        <v>13</v>
      </c>
      <c r="C27" s="2">
        <f>IF(D26&gt;1500,1500,D26)</f>
        <v>1500</v>
      </c>
      <c r="D27" s="1" t="s">
        <v>0</v>
      </c>
      <c r="E27" s="11">
        <v>3</v>
      </c>
      <c r="F27" s="12">
        <f>SUM(C27*E27/100)</f>
        <v>45</v>
      </c>
    </row>
    <row r="28" spans="1:6" x14ac:dyDescent="0.35">
      <c r="B28" s="10" t="s">
        <v>14</v>
      </c>
      <c r="C28" s="2">
        <f>IF(SUM(D26-C27)&gt;2000,2000,SUM(D26-C27))</f>
        <v>2000</v>
      </c>
      <c r="D28" s="1" t="s">
        <v>0</v>
      </c>
      <c r="E28" s="11">
        <v>3.75</v>
      </c>
      <c r="F28" s="12">
        <f>SUM(C28*E28/100)</f>
        <v>75</v>
      </c>
    </row>
    <row r="29" spans="1:6" x14ac:dyDescent="0.35">
      <c r="B29" s="10" t="s">
        <v>15</v>
      </c>
      <c r="C29" s="2">
        <f>IF(SUM(D26-C27-C28)&gt;1501,SUM(D26-C27-C28),SUM(D26-C27-C28))</f>
        <v>58790</v>
      </c>
      <c r="D29" s="1" t="s">
        <v>0</v>
      </c>
      <c r="E29" s="11">
        <v>5.62</v>
      </c>
      <c r="F29" s="13">
        <f>SUM(C29*E29/100)</f>
        <v>3303.998</v>
      </c>
    </row>
    <row r="30" spans="1:6" ht="17.25" thickBot="1" x14ac:dyDescent="0.4">
      <c r="B30" s="14"/>
      <c r="C30" s="15"/>
      <c r="D30" s="16"/>
      <c r="E30" s="16"/>
      <c r="F30" s="17">
        <f>SUM(F27:F29)</f>
        <v>3423.998</v>
      </c>
    </row>
    <row r="31" spans="1:6" x14ac:dyDescent="0.35">
      <c r="F31" s="6"/>
    </row>
  </sheetData>
  <pageMargins left="0.75" right="0.75" top="1" bottom="1" header="0.5" footer="0.5"/>
  <pageSetup orientation="portrait" r:id="rId1"/>
  <headerFooter alignWithMargins="0">
    <oddHeader>&amp;C&amp;A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8AD4-42C7-4166-8436-4BF0274755BF}">
  <dimension ref="A1:O35"/>
  <sheetViews>
    <sheetView tabSelected="1" zoomScale="80" zoomScaleNormal="80" workbookViewId="0">
      <selection activeCell="I5" sqref="I5"/>
    </sheetView>
  </sheetViews>
  <sheetFormatPr defaultRowHeight="15" x14ac:dyDescent="0.3"/>
  <cols>
    <col min="1" max="1" width="6.28515625" style="19" bestFit="1" customWidth="1"/>
    <col min="2" max="2" width="21.7109375" style="19" customWidth="1"/>
    <col min="3" max="3" width="14.7109375" style="1" customWidth="1"/>
    <col min="4" max="4" width="10.7109375" style="1" customWidth="1"/>
    <col min="5" max="5" width="14.7109375" style="1" customWidth="1"/>
    <col min="6" max="6" width="14.7109375" style="4" customWidth="1"/>
    <col min="7" max="7" width="2.28515625" style="4" customWidth="1"/>
    <col min="8" max="8" width="12.7109375" style="4" bestFit="1" customWidth="1"/>
    <col min="9" max="9" width="14.7109375" style="4" customWidth="1"/>
    <col min="10" max="10" width="2.28515625" style="1" customWidth="1"/>
    <col min="11" max="11" width="21.7109375" style="1" customWidth="1"/>
    <col min="12" max="12" width="14.7109375" style="1" customWidth="1"/>
    <col min="13" max="13" width="10.7109375" style="1" customWidth="1"/>
    <col min="14" max="15" width="14.7109375" style="1" customWidth="1"/>
    <col min="16" max="16384" width="9.140625" style="1"/>
  </cols>
  <sheetData>
    <row r="1" spans="1:15" ht="16.5" customHeight="1" thickBot="1" x14ac:dyDescent="0.4">
      <c r="B1" s="23"/>
      <c r="D1" s="2"/>
      <c r="K1" s="23"/>
      <c r="M1" s="2"/>
      <c r="O1" s="4"/>
    </row>
    <row r="2" spans="1:15" ht="17.25" thickBot="1" x14ac:dyDescent="0.4">
      <c r="A2" s="46">
        <v>2024</v>
      </c>
      <c r="B2" s="20" t="s">
        <v>1</v>
      </c>
      <c r="C2" s="47" t="s">
        <v>20</v>
      </c>
      <c r="D2" s="39">
        <v>245100</v>
      </c>
      <c r="E2" s="8" t="s">
        <v>0</v>
      </c>
      <c r="F2" s="9" t="s">
        <v>22</v>
      </c>
      <c r="G2" s="11"/>
      <c r="H2" s="1"/>
      <c r="I2" s="31" t="s">
        <v>30</v>
      </c>
      <c r="K2" s="20" t="s">
        <v>1</v>
      </c>
      <c r="L2" s="47" t="s">
        <v>21</v>
      </c>
      <c r="M2" s="44">
        <f>D2</f>
        <v>245100</v>
      </c>
      <c r="N2" s="8" t="s">
        <v>0</v>
      </c>
      <c r="O2" s="9" t="s">
        <v>22</v>
      </c>
    </row>
    <row r="3" spans="1:15" x14ac:dyDescent="0.3">
      <c r="B3" s="21" t="s">
        <v>16</v>
      </c>
      <c r="C3" s="2">
        <f>IF(D2&gt;20000,20000,D2)</f>
        <v>20000</v>
      </c>
      <c r="D3" s="1" t="s">
        <v>0</v>
      </c>
      <c r="E3" s="11">
        <v>1.78</v>
      </c>
      <c r="F3" s="12">
        <f>SUM(C3*E3/100)</f>
        <v>356</v>
      </c>
      <c r="G3" s="11"/>
      <c r="H3" s="1" t="s">
        <v>25</v>
      </c>
      <c r="I3" s="32">
        <v>9.81</v>
      </c>
      <c r="K3" s="27" t="s">
        <v>16</v>
      </c>
      <c r="L3" s="28">
        <f>IF(M2&gt;20000,20000,M2)</f>
        <v>20000</v>
      </c>
      <c r="M3" s="1" t="s">
        <v>0</v>
      </c>
      <c r="N3" s="26">
        <v>1.78</v>
      </c>
      <c r="O3" s="12">
        <f>SUM(L3*N3/100)</f>
        <v>356</v>
      </c>
    </row>
    <row r="4" spans="1:15" ht="16.5" x14ac:dyDescent="0.35">
      <c r="B4" s="21" t="s">
        <v>17</v>
      </c>
      <c r="C4" s="2">
        <f>IF(SUM(D2-C3)&gt;75000,75000,SUM(D2-C3))</f>
        <v>75000</v>
      </c>
      <c r="D4" s="1" t="s">
        <v>0</v>
      </c>
      <c r="E4" s="11">
        <v>2.23</v>
      </c>
      <c r="F4" s="12">
        <f>SUM(C4*E4/100)</f>
        <v>1672.5</v>
      </c>
      <c r="G4" s="11"/>
      <c r="H4" s="1" t="s">
        <v>31</v>
      </c>
      <c r="I4" s="40">
        <v>285</v>
      </c>
      <c r="K4" s="27" t="s">
        <v>17</v>
      </c>
      <c r="L4" s="28">
        <f>IF(SUM(M2-L3)&gt;75000,75000,SUM(M2-L3))</f>
        <v>75000</v>
      </c>
      <c r="M4" s="1" t="s">
        <v>0</v>
      </c>
      <c r="N4" s="26">
        <v>2.23</v>
      </c>
      <c r="O4" s="12">
        <f>SUM(L4*N4/100)</f>
        <v>1672.5</v>
      </c>
    </row>
    <row r="5" spans="1:15" x14ac:dyDescent="0.3">
      <c r="B5" s="21" t="s">
        <v>18</v>
      </c>
      <c r="C5" s="2">
        <f>IF(SUM(D2-C3-C4)&gt;35000,35000,SUM(D2-C3-C4))</f>
        <v>35000</v>
      </c>
      <c r="D5" s="1" t="s">
        <v>0</v>
      </c>
      <c r="E5" s="11">
        <v>2.79</v>
      </c>
      <c r="F5" s="12">
        <f>SUM(C5*E5/100)</f>
        <v>976.5</v>
      </c>
      <c r="G5" s="11"/>
      <c r="H5" s="1" t="s">
        <v>28</v>
      </c>
      <c r="I5" s="36">
        <f>I3*I4</f>
        <v>2795.8500000000004</v>
      </c>
      <c r="K5" s="27" t="s">
        <v>18</v>
      </c>
      <c r="L5" s="28">
        <f>IF(SUM(M2-L3-L4)&gt;35000,35000,SUM(M2-L3-L4))</f>
        <v>35000</v>
      </c>
      <c r="M5" s="1" t="s">
        <v>0</v>
      </c>
      <c r="N5" s="26">
        <v>2.79</v>
      </c>
      <c r="O5" s="12">
        <f>SUM(L5*N5/100)</f>
        <v>976.5</v>
      </c>
    </row>
    <row r="6" spans="1:15" x14ac:dyDescent="0.3">
      <c r="B6" s="21" t="s">
        <v>19</v>
      </c>
      <c r="C6" s="2">
        <f>IF(SUM(D2-C3-C4-C5)&lt;4000,SUM(D2-C3-C4-C5),SUM(D2-C3-C4-C5))</f>
        <v>115100</v>
      </c>
      <c r="D6" s="1" t="s">
        <v>0</v>
      </c>
      <c r="E6" s="11">
        <v>3.48</v>
      </c>
      <c r="F6" s="13">
        <f>SUM(C6*E6/100)</f>
        <v>4005.48</v>
      </c>
      <c r="G6" s="11"/>
      <c r="H6" s="1" t="s">
        <v>26</v>
      </c>
      <c r="I6" s="32">
        <f>D2/100*3.44</f>
        <v>8431.44</v>
      </c>
      <c r="K6" s="27" t="s">
        <v>19</v>
      </c>
      <c r="L6" s="28">
        <f>IF(SUM(M2-L3-L4-L5)&lt;4000,SUM(M2-L3-L4-L5),SUM(M2-L3-L4-L5))</f>
        <v>115100</v>
      </c>
      <c r="M6" s="1" t="s">
        <v>0</v>
      </c>
      <c r="N6" s="26">
        <v>3.48</v>
      </c>
      <c r="O6" s="13">
        <f>SUM(L6*N6/100)</f>
        <v>4005.48</v>
      </c>
    </row>
    <row r="7" spans="1:15" ht="17.25" thickBot="1" x14ac:dyDescent="0.4">
      <c r="B7" s="22"/>
      <c r="C7" s="15"/>
      <c r="D7" s="16"/>
      <c r="E7" s="16"/>
      <c r="F7" s="24">
        <f>SUM(F3:F6)</f>
        <v>7010.48</v>
      </c>
      <c r="G7" s="29"/>
      <c r="H7" s="1" t="s">
        <v>29</v>
      </c>
      <c r="I7" s="38">
        <f>SUM(I5+I6)</f>
        <v>11227.29</v>
      </c>
      <c r="K7" s="22"/>
      <c r="L7" s="15"/>
      <c r="M7" s="16"/>
      <c r="N7" s="16"/>
      <c r="O7" s="24">
        <f>SUM(O3:O6)</f>
        <v>7010.48</v>
      </c>
    </row>
    <row r="8" spans="1:15" ht="3" customHeight="1" thickBot="1" x14ac:dyDescent="0.4">
      <c r="B8" s="23"/>
      <c r="K8" s="23"/>
      <c r="O8" s="4"/>
    </row>
    <row r="9" spans="1:15" ht="17.25" thickBot="1" x14ac:dyDescent="0.4">
      <c r="A9" s="46">
        <v>2025</v>
      </c>
      <c r="B9" s="20" t="s">
        <v>1</v>
      </c>
      <c r="C9" s="47" t="s">
        <v>20</v>
      </c>
      <c r="D9" s="44">
        <f>D2</f>
        <v>245100</v>
      </c>
      <c r="E9" s="8" t="s">
        <v>0</v>
      </c>
      <c r="F9" s="9" t="s">
        <v>22</v>
      </c>
      <c r="G9" s="11"/>
      <c r="I9" s="31" t="s">
        <v>30</v>
      </c>
      <c r="K9" s="20" t="s">
        <v>1</v>
      </c>
      <c r="L9" s="47" t="s">
        <v>21</v>
      </c>
      <c r="M9" s="44">
        <f>D2</f>
        <v>245100</v>
      </c>
      <c r="N9" s="8" t="s">
        <v>0</v>
      </c>
      <c r="O9" s="9" t="s">
        <v>22</v>
      </c>
    </row>
    <row r="10" spans="1:15" x14ac:dyDescent="0.3">
      <c r="B10" s="21" t="s">
        <v>16</v>
      </c>
      <c r="C10" s="2">
        <f>IF(D9&gt;20000,20000,D9)</f>
        <v>20000</v>
      </c>
      <c r="D10" s="1" t="s">
        <v>0</v>
      </c>
      <c r="E10" s="11">
        <v>1.83</v>
      </c>
      <c r="F10" s="12">
        <f>SUM(C10*E10/100)</f>
        <v>366</v>
      </c>
      <c r="G10" s="11"/>
      <c r="H10" s="1" t="s">
        <v>25</v>
      </c>
      <c r="I10" s="32">
        <v>10.3</v>
      </c>
      <c r="K10" s="27" t="s">
        <v>16</v>
      </c>
      <c r="L10" s="28">
        <f>IF(M9&gt;20000,20000,M9)</f>
        <v>20000</v>
      </c>
      <c r="M10" s="1" t="s">
        <v>0</v>
      </c>
      <c r="N10" s="26">
        <v>1.82</v>
      </c>
      <c r="O10" s="12">
        <f>SUM(L10*N10/100)</f>
        <v>364</v>
      </c>
    </row>
    <row r="11" spans="1:15" ht="16.5" x14ac:dyDescent="0.35">
      <c r="B11" s="21" t="s">
        <v>17</v>
      </c>
      <c r="C11" s="2">
        <f>IF(SUM(D9-C10)&gt;75000,75000,SUM(D9-C10))</f>
        <v>75000</v>
      </c>
      <c r="D11" s="1" t="s">
        <v>0</v>
      </c>
      <c r="E11" s="11">
        <v>2.29</v>
      </c>
      <c r="F11" s="12">
        <f>SUM(C11*E11/100)</f>
        <v>1717.5</v>
      </c>
      <c r="G11" s="11"/>
      <c r="H11" s="1" t="s">
        <v>31</v>
      </c>
      <c r="I11" s="45">
        <f>I4</f>
        <v>285</v>
      </c>
      <c r="K11" s="27" t="s">
        <v>17</v>
      </c>
      <c r="L11" s="28">
        <f>IF(SUM(M9-L10)&gt;75000,75000,SUM(M9-L10))</f>
        <v>75000</v>
      </c>
      <c r="M11" s="1" t="s">
        <v>0</v>
      </c>
      <c r="N11" s="26">
        <v>2.27</v>
      </c>
      <c r="O11" s="12">
        <f>SUM(L11*N11/100)</f>
        <v>1702.5</v>
      </c>
    </row>
    <row r="12" spans="1:15" x14ac:dyDescent="0.3">
      <c r="B12" s="21" t="s">
        <v>18</v>
      </c>
      <c r="C12" s="2">
        <f>IF(SUM(D9-C10-C11)&gt;35000,35000,SUM(D9-C10-C11))</f>
        <v>35000</v>
      </c>
      <c r="D12" s="1" t="s">
        <v>0</v>
      </c>
      <c r="E12" s="11">
        <v>2.86</v>
      </c>
      <c r="F12" s="12">
        <f>SUM(C12*E12/100)</f>
        <v>1001</v>
      </c>
      <c r="G12" s="11"/>
      <c r="H12" s="1" t="s">
        <v>28</v>
      </c>
      <c r="I12" s="36">
        <f>I10*I11</f>
        <v>2935.5</v>
      </c>
      <c r="K12" s="27" t="s">
        <v>18</v>
      </c>
      <c r="L12" s="28">
        <f>IF(SUM(M9-L10-L11)&gt;35000,35000,SUM(M9-L10-L11))</f>
        <v>35000</v>
      </c>
      <c r="M12" s="1" t="s">
        <v>0</v>
      </c>
      <c r="N12" s="26">
        <v>2.84</v>
      </c>
      <c r="O12" s="12">
        <f>SUM(L12*N12/100)</f>
        <v>994</v>
      </c>
    </row>
    <row r="13" spans="1:15" x14ac:dyDescent="0.3">
      <c r="B13" s="21" t="s">
        <v>19</v>
      </c>
      <c r="C13" s="2">
        <f>IF(SUM(D9-C10-C11-C12)&lt;4000,SUM(D9-C10-C11-C12),SUM(D9-C10-C11-C12))</f>
        <v>115100</v>
      </c>
      <c r="D13" s="1" t="s">
        <v>0</v>
      </c>
      <c r="E13" s="11">
        <v>3.59</v>
      </c>
      <c r="F13" s="13">
        <f>SUM(C13*E13/100)</f>
        <v>4132.09</v>
      </c>
      <c r="G13" s="11"/>
      <c r="H13" s="1" t="s">
        <v>26</v>
      </c>
      <c r="I13" s="32">
        <f>D9/100*3.79</f>
        <v>9289.2900000000009</v>
      </c>
      <c r="K13" s="27" t="s">
        <v>19</v>
      </c>
      <c r="L13" s="28">
        <f>IF(SUM(M9-L10-L11-L12)&lt;4000,SUM(M9-L10-L11-L12),SUM(M9-L10-L11-L12))</f>
        <v>115100</v>
      </c>
      <c r="M13" s="1" t="s">
        <v>0</v>
      </c>
      <c r="N13" s="26">
        <v>3.56</v>
      </c>
      <c r="O13" s="13">
        <f>SUM(L13*N13/100)</f>
        <v>4097.5600000000004</v>
      </c>
    </row>
    <row r="14" spans="1:15" ht="17.25" thickBot="1" x14ac:dyDescent="0.4">
      <c r="B14" s="22"/>
      <c r="C14" s="15"/>
      <c r="D14" s="16"/>
      <c r="E14" s="16"/>
      <c r="F14" s="24">
        <f>SUM(F10:F13)</f>
        <v>7216.59</v>
      </c>
      <c r="G14" s="29"/>
      <c r="H14" s="1" t="s">
        <v>29</v>
      </c>
      <c r="I14" s="38">
        <f>SUM(I12+I13)</f>
        <v>12224.79</v>
      </c>
      <c r="K14" s="22"/>
      <c r="L14" s="15"/>
      <c r="M14" s="16"/>
      <c r="N14" s="16"/>
      <c r="O14" s="24">
        <f>SUM(O10:O13)</f>
        <v>7158.06</v>
      </c>
    </row>
    <row r="15" spans="1:15" ht="3" customHeight="1" thickBot="1" x14ac:dyDescent="0.4">
      <c r="B15" s="23"/>
      <c r="C15" s="7"/>
      <c r="E15" s="4"/>
      <c r="K15" s="23"/>
      <c r="L15" s="7"/>
      <c r="N15" s="4"/>
      <c r="O15" s="4"/>
    </row>
    <row r="16" spans="1:15" ht="17.25" thickBot="1" x14ac:dyDescent="0.4">
      <c r="A16" s="46">
        <v>2026</v>
      </c>
      <c r="B16" s="20" t="s">
        <v>1</v>
      </c>
      <c r="C16" s="47" t="s">
        <v>20</v>
      </c>
      <c r="D16" s="44">
        <f>D2</f>
        <v>245100</v>
      </c>
      <c r="E16" s="8" t="s">
        <v>0</v>
      </c>
      <c r="F16" s="9" t="s">
        <v>22</v>
      </c>
      <c r="G16" s="11"/>
      <c r="I16" s="31" t="s">
        <v>30</v>
      </c>
      <c r="K16" s="20" t="s">
        <v>1</v>
      </c>
      <c r="L16" s="47" t="s">
        <v>21</v>
      </c>
      <c r="M16" s="44">
        <f>D2</f>
        <v>245100</v>
      </c>
      <c r="N16" s="8" t="s">
        <v>0</v>
      </c>
      <c r="O16" s="9" t="s">
        <v>22</v>
      </c>
    </row>
    <row r="17" spans="1:15" x14ac:dyDescent="0.3">
      <c r="B17" s="21" t="s">
        <v>16</v>
      </c>
      <c r="C17" s="2">
        <f>IF(D16&gt;20000,20000,D16)</f>
        <v>20000</v>
      </c>
      <c r="D17" s="1" t="s">
        <v>0</v>
      </c>
      <c r="E17" s="11">
        <v>1.87</v>
      </c>
      <c r="F17" s="12">
        <f>SUM(C17*E17/100)</f>
        <v>374</v>
      </c>
      <c r="G17" s="11"/>
      <c r="H17" s="1" t="s">
        <v>25</v>
      </c>
      <c r="I17" s="32">
        <v>10.81</v>
      </c>
      <c r="K17" s="27" t="s">
        <v>16</v>
      </c>
      <c r="L17" s="28">
        <f>IF(M16&gt;20000,20000,M16)</f>
        <v>20000</v>
      </c>
      <c r="M17" s="1" t="s">
        <v>0</v>
      </c>
      <c r="N17" s="26">
        <v>1.85</v>
      </c>
      <c r="O17" s="12">
        <f>SUM(L17*N17/100)</f>
        <v>370</v>
      </c>
    </row>
    <row r="18" spans="1:15" ht="16.5" x14ac:dyDescent="0.35">
      <c r="B18" s="21" t="s">
        <v>17</v>
      </c>
      <c r="C18" s="2">
        <f>IF(SUM(D16-C17)&gt;75000,75000,SUM(D16-C17))</f>
        <v>75000</v>
      </c>
      <c r="D18" s="1" t="s">
        <v>0</v>
      </c>
      <c r="E18" s="11">
        <v>2.34</v>
      </c>
      <c r="F18" s="12">
        <f>SUM(C18*E18/100)</f>
        <v>1755</v>
      </c>
      <c r="G18" s="11"/>
      <c r="H18" s="1" t="s">
        <v>31</v>
      </c>
      <c r="I18" s="45">
        <f>I4</f>
        <v>285</v>
      </c>
      <c r="K18" s="27" t="s">
        <v>17</v>
      </c>
      <c r="L18" s="28">
        <f>IF(SUM(M16-L17)&gt;75000,75000,SUM(M16-L17))</f>
        <v>75000</v>
      </c>
      <c r="M18" s="1" t="s">
        <v>0</v>
      </c>
      <c r="N18" s="26">
        <v>2.3199999999999998</v>
      </c>
      <c r="O18" s="12">
        <f>SUM(L18*N18/100)</f>
        <v>1740</v>
      </c>
    </row>
    <row r="19" spans="1:15" x14ac:dyDescent="0.3">
      <c r="B19" s="21" t="s">
        <v>18</v>
      </c>
      <c r="C19" s="2">
        <f>IF(SUM(D16-C17-C18)&gt;35000,35000,SUM(D16-C17-C18))</f>
        <v>35000</v>
      </c>
      <c r="D19" s="1" t="s">
        <v>0</v>
      </c>
      <c r="E19" s="11">
        <v>2.93</v>
      </c>
      <c r="F19" s="12">
        <f>SUM(C19*E19/100)</f>
        <v>1025.5</v>
      </c>
      <c r="G19" s="11"/>
      <c r="H19" s="1" t="s">
        <v>28</v>
      </c>
      <c r="I19" s="36">
        <f>I17*I18</f>
        <v>3080.8500000000004</v>
      </c>
      <c r="K19" s="27" t="s">
        <v>18</v>
      </c>
      <c r="L19" s="28">
        <f>IF(SUM(M16-L17-L18)&gt;35000,35000,SUM(M16-L17-L18))</f>
        <v>35000</v>
      </c>
      <c r="M19" s="1" t="s">
        <v>0</v>
      </c>
      <c r="N19" s="26">
        <v>2.9</v>
      </c>
      <c r="O19" s="12">
        <f>SUM(L19*N19/100)</f>
        <v>1015</v>
      </c>
    </row>
    <row r="20" spans="1:15" x14ac:dyDescent="0.3">
      <c r="B20" s="21" t="s">
        <v>19</v>
      </c>
      <c r="C20" s="2">
        <f>IF(SUM(D16-C17-C18-C19)&lt;4000,SUM(D16-C17-C18-C19),SUM(D16-C17-C18-C19))</f>
        <v>115100</v>
      </c>
      <c r="D20" s="1" t="s">
        <v>0</v>
      </c>
      <c r="E20" s="11">
        <v>3.66</v>
      </c>
      <c r="F20" s="13">
        <f>SUM(C20*E20/100)</f>
        <v>4212.66</v>
      </c>
      <c r="G20" s="11"/>
      <c r="H20" s="1" t="s">
        <v>26</v>
      </c>
      <c r="I20" s="32">
        <f>D16/100*4.17</f>
        <v>10220.67</v>
      </c>
      <c r="K20" s="27" t="s">
        <v>19</v>
      </c>
      <c r="L20" s="28">
        <f>IF(SUM(M16-L17-L18-L19)&lt;4000,SUM(M16-L17-L18-L19),SUM(M16-L17-L18-L19))</f>
        <v>115100</v>
      </c>
      <c r="M20" s="1" t="s">
        <v>0</v>
      </c>
      <c r="N20" s="26">
        <v>3.63</v>
      </c>
      <c r="O20" s="13">
        <f>SUM(L20*N20/100)</f>
        <v>4178.13</v>
      </c>
    </row>
    <row r="21" spans="1:15" ht="17.25" thickBot="1" x14ac:dyDescent="0.4">
      <c r="B21" s="22"/>
      <c r="C21" s="15"/>
      <c r="D21" s="16"/>
      <c r="E21" s="16"/>
      <c r="F21" s="24">
        <f>SUM(F17:F20)</f>
        <v>7367.16</v>
      </c>
      <c r="G21" s="29"/>
      <c r="H21" s="1" t="s">
        <v>29</v>
      </c>
      <c r="I21" s="38">
        <f>SUM(I19+I20)</f>
        <v>13301.52</v>
      </c>
      <c r="K21" s="22"/>
      <c r="L21" s="15"/>
      <c r="M21" s="16"/>
      <c r="N21" s="16"/>
      <c r="O21" s="24">
        <f>SUM(O17:O20)</f>
        <v>7303.13</v>
      </c>
    </row>
    <row r="22" spans="1:15" ht="3" customHeight="1" thickBot="1" x14ac:dyDescent="0.4">
      <c r="B22" s="23"/>
      <c r="C22" s="2"/>
      <c r="E22" s="4"/>
      <c r="K22" s="23"/>
      <c r="L22" s="2"/>
      <c r="N22" s="4"/>
      <c r="O22" s="4"/>
    </row>
    <row r="23" spans="1:15" ht="17.25" thickBot="1" x14ac:dyDescent="0.4">
      <c r="A23" s="46">
        <v>2027</v>
      </c>
      <c r="B23" s="20" t="s">
        <v>1</v>
      </c>
      <c r="C23" s="47" t="s">
        <v>20</v>
      </c>
      <c r="D23" s="44">
        <f>D2</f>
        <v>245100</v>
      </c>
      <c r="E23" s="8" t="s">
        <v>0</v>
      </c>
      <c r="F23" s="9" t="s">
        <v>22</v>
      </c>
      <c r="G23" s="11"/>
      <c r="I23" s="31" t="s">
        <v>30</v>
      </c>
      <c r="K23" s="20" t="s">
        <v>1</v>
      </c>
      <c r="L23" s="47" t="s">
        <v>21</v>
      </c>
      <c r="M23" s="44">
        <f>D2</f>
        <v>245100</v>
      </c>
      <c r="N23" s="8" t="s">
        <v>0</v>
      </c>
      <c r="O23" s="9" t="s">
        <v>22</v>
      </c>
    </row>
    <row r="24" spans="1:15" x14ac:dyDescent="0.3">
      <c r="B24" s="21" t="s">
        <v>16</v>
      </c>
      <c r="C24" s="2">
        <f>IF(D23&gt;20000,20000,D23)</f>
        <v>20000</v>
      </c>
      <c r="D24" s="1" t="s">
        <v>0</v>
      </c>
      <c r="E24" s="11">
        <v>1.9</v>
      </c>
      <c r="F24" s="12">
        <f>SUM(C24*E24/100)</f>
        <v>380</v>
      </c>
      <c r="G24" s="11"/>
      <c r="H24" s="1" t="s">
        <v>25</v>
      </c>
      <c r="I24" s="32">
        <v>12.43</v>
      </c>
      <c r="K24" s="27" t="s">
        <v>16</v>
      </c>
      <c r="L24" s="28">
        <f>IF(M23&gt;20000,20000,M23)</f>
        <v>20000</v>
      </c>
      <c r="M24" s="1" t="s">
        <v>0</v>
      </c>
      <c r="N24" s="26">
        <v>1.89</v>
      </c>
      <c r="O24" s="12">
        <f>SUM(L24*N24/100)</f>
        <v>378</v>
      </c>
    </row>
    <row r="25" spans="1:15" ht="16.5" x14ac:dyDescent="0.35">
      <c r="B25" s="21" t="s">
        <v>17</v>
      </c>
      <c r="C25" s="2">
        <f>IF(SUM(D23-C24)&gt;75000,75000,SUM(D23-C24))</f>
        <v>75000</v>
      </c>
      <c r="D25" s="1" t="s">
        <v>0</v>
      </c>
      <c r="E25" s="11">
        <v>2.38</v>
      </c>
      <c r="F25" s="12">
        <f>SUM(C25*E25/100)</f>
        <v>1785</v>
      </c>
      <c r="G25" s="11"/>
      <c r="H25" s="1" t="s">
        <v>31</v>
      </c>
      <c r="I25" s="45">
        <f>I4</f>
        <v>285</v>
      </c>
      <c r="K25" s="27" t="s">
        <v>17</v>
      </c>
      <c r="L25" s="28">
        <f>IF(SUM(M23-L24)&gt;75000,75000,SUM(M23-L24))</f>
        <v>75000</v>
      </c>
      <c r="M25" s="1" t="s">
        <v>0</v>
      </c>
      <c r="N25" s="26">
        <v>2.36</v>
      </c>
      <c r="O25" s="12">
        <f>SUM(L25*N25/100)</f>
        <v>1770</v>
      </c>
    </row>
    <row r="26" spans="1:15" x14ac:dyDescent="0.3">
      <c r="B26" s="21" t="s">
        <v>18</v>
      </c>
      <c r="C26" s="2">
        <f>IF(SUM(D23-C24-C25)&gt;35000,35000,SUM(D23-C24-C25))</f>
        <v>35000</v>
      </c>
      <c r="D26" s="1" t="s">
        <v>0</v>
      </c>
      <c r="E26" s="11">
        <v>2.97</v>
      </c>
      <c r="F26" s="12">
        <f>SUM(C26*E26/100)</f>
        <v>1039.5</v>
      </c>
      <c r="G26" s="11"/>
      <c r="H26" s="1" t="s">
        <v>28</v>
      </c>
      <c r="I26" s="36">
        <f>I24*I25</f>
        <v>3542.5499999999997</v>
      </c>
      <c r="K26" s="27" t="s">
        <v>18</v>
      </c>
      <c r="L26" s="28">
        <f>IF(SUM(M23-L24-L25)&gt;35000,35000,SUM(M23-L24-L25))</f>
        <v>35000</v>
      </c>
      <c r="M26" s="1" t="s">
        <v>0</v>
      </c>
      <c r="N26" s="26">
        <v>2.96</v>
      </c>
      <c r="O26" s="12">
        <f>SUM(L26*N26/100)</f>
        <v>1036</v>
      </c>
    </row>
    <row r="27" spans="1:15" x14ac:dyDescent="0.3">
      <c r="B27" s="21" t="s">
        <v>19</v>
      </c>
      <c r="C27" s="2">
        <f>IF(SUM(D23-C24-C25-C26)&lt;4000,SUM(D23-C24-C25-C26),SUM(D23-C24-C25-C26))</f>
        <v>115100</v>
      </c>
      <c r="D27" s="1" t="s">
        <v>0</v>
      </c>
      <c r="E27" s="11">
        <v>3.72</v>
      </c>
      <c r="F27" s="13">
        <f>SUM(C27*E27/100)</f>
        <v>4281.72</v>
      </c>
      <c r="G27" s="11"/>
      <c r="H27" s="1" t="s">
        <v>26</v>
      </c>
      <c r="I27" s="32">
        <f>D23/100*4.79</f>
        <v>11740.29</v>
      </c>
      <c r="K27" s="27" t="s">
        <v>19</v>
      </c>
      <c r="L27" s="28">
        <f>IF(SUM(M23-L24-L25-L26)&lt;4000,SUM(M23-L24-L25-L26),SUM(M23-L24-L25-L26))</f>
        <v>115100</v>
      </c>
      <c r="M27" s="1" t="s">
        <v>0</v>
      </c>
      <c r="N27" s="26">
        <v>3.7</v>
      </c>
      <c r="O27" s="13">
        <f>SUM(L27*N27/100)</f>
        <v>4258.7</v>
      </c>
    </row>
    <row r="28" spans="1:15" ht="17.25" thickBot="1" x14ac:dyDescent="0.4">
      <c r="B28" s="22"/>
      <c r="C28" s="15"/>
      <c r="D28" s="16"/>
      <c r="E28" s="16"/>
      <c r="F28" s="24">
        <f>SUM(F24:F27)</f>
        <v>7486.22</v>
      </c>
      <c r="G28" s="29"/>
      <c r="H28" s="1" t="s">
        <v>29</v>
      </c>
      <c r="I28" s="38">
        <f>SUM(I26+I27)</f>
        <v>15282.84</v>
      </c>
      <c r="K28" s="22"/>
      <c r="L28" s="15"/>
      <c r="M28" s="16"/>
      <c r="N28" s="16"/>
      <c r="O28" s="24">
        <f>SUM(O24:O27)</f>
        <v>7442.7</v>
      </c>
    </row>
    <row r="29" spans="1:15" ht="3" customHeight="1" thickBot="1" x14ac:dyDescent="0.5">
      <c r="B29" s="23"/>
      <c r="F29" s="5"/>
      <c r="G29" s="5"/>
      <c r="H29" s="5"/>
      <c r="I29" s="5"/>
      <c r="K29" s="23"/>
      <c r="O29" s="5"/>
    </row>
    <row r="30" spans="1:15" ht="17.25" thickBot="1" x14ac:dyDescent="0.4">
      <c r="A30" s="46">
        <v>2028</v>
      </c>
      <c r="B30" s="20" t="s">
        <v>1</v>
      </c>
      <c r="C30" s="47" t="s">
        <v>20</v>
      </c>
      <c r="D30" s="44">
        <f>D2</f>
        <v>245100</v>
      </c>
      <c r="E30" s="8" t="s">
        <v>0</v>
      </c>
      <c r="F30" s="9" t="s">
        <v>22</v>
      </c>
      <c r="G30" s="11"/>
      <c r="I30" s="31" t="s">
        <v>30</v>
      </c>
      <c r="K30" s="20" t="s">
        <v>1</v>
      </c>
      <c r="L30" s="47" t="s">
        <v>21</v>
      </c>
      <c r="M30" s="44">
        <f>D2</f>
        <v>245100</v>
      </c>
      <c r="N30" s="8" t="s">
        <v>0</v>
      </c>
      <c r="O30" s="9" t="s">
        <v>22</v>
      </c>
    </row>
    <row r="31" spans="1:15" x14ac:dyDescent="0.3">
      <c r="B31" s="21" t="s">
        <v>16</v>
      </c>
      <c r="C31" s="2">
        <f>IF(D30&gt;20000,20000,D30)</f>
        <v>20000</v>
      </c>
      <c r="D31" s="1" t="s">
        <v>0</v>
      </c>
      <c r="E31" s="11">
        <v>1.96</v>
      </c>
      <c r="F31" s="12">
        <f>SUM(C31*E31/100)</f>
        <v>392</v>
      </c>
      <c r="G31" s="11"/>
      <c r="H31" s="1" t="s">
        <v>25</v>
      </c>
      <c r="I31" s="32">
        <v>14.3</v>
      </c>
      <c r="K31" s="27" t="s">
        <v>16</v>
      </c>
      <c r="L31" s="28">
        <f>IF(M30&gt;20000,20000,M30)</f>
        <v>20000</v>
      </c>
      <c r="M31" s="1" t="s">
        <v>0</v>
      </c>
      <c r="N31" s="26">
        <v>1.96</v>
      </c>
      <c r="O31" s="12">
        <f>SUM(L31*N31/100)</f>
        <v>392</v>
      </c>
    </row>
    <row r="32" spans="1:15" ht="16.5" x14ac:dyDescent="0.35">
      <c r="B32" s="21" t="s">
        <v>17</v>
      </c>
      <c r="C32" s="2">
        <f>IF(SUM(D30-C31)&gt;75000,75000,SUM(D30-C31))</f>
        <v>75000</v>
      </c>
      <c r="D32" s="1" t="s">
        <v>0</v>
      </c>
      <c r="E32" s="11">
        <v>2.4500000000000002</v>
      </c>
      <c r="F32" s="12">
        <f>SUM(C32*E32/100)</f>
        <v>1837.5</v>
      </c>
      <c r="G32" s="11"/>
      <c r="H32" s="1" t="s">
        <v>31</v>
      </c>
      <c r="I32" s="45">
        <f>I4</f>
        <v>285</v>
      </c>
      <c r="K32" s="27" t="s">
        <v>17</v>
      </c>
      <c r="L32" s="28">
        <f>IF(SUM(M30-L31)&gt;75000,75000,SUM(M30-L31))</f>
        <v>75000</v>
      </c>
      <c r="M32" s="1" t="s">
        <v>0</v>
      </c>
      <c r="N32" s="26">
        <v>2.4500000000000002</v>
      </c>
      <c r="O32" s="12">
        <f>SUM(L32*N32/100)</f>
        <v>1837.5</v>
      </c>
    </row>
    <row r="33" spans="2:15" x14ac:dyDescent="0.3">
      <c r="B33" s="21" t="s">
        <v>18</v>
      </c>
      <c r="C33" s="2">
        <f>IF(SUM(D30-C31-C32)&gt;35000,35000,SUM(D30-C31-C32))</f>
        <v>35000</v>
      </c>
      <c r="D33" s="1" t="s">
        <v>0</v>
      </c>
      <c r="E33" s="11">
        <v>3.06</v>
      </c>
      <c r="F33" s="12">
        <f>SUM(C33*E33/100)</f>
        <v>1071</v>
      </c>
      <c r="G33" s="11"/>
      <c r="H33" s="1" t="s">
        <v>28</v>
      </c>
      <c r="I33" s="36">
        <f>I31*I32</f>
        <v>4075.5</v>
      </c>
      <c r="K33" s="27" t="s">
        <v>18</v>
      </c>
      <c r="L33" s="28">
        <f>IF(SUM(M30-L31-L32)&gt;35000,35000,SUM(M30-L31-L32))</f>
        <v>35000</v>
      </c>
      <c r="M33" s="1" t="s">
        <v>0</v>
      </c>
      <c r="N33" s="26">
        <v>3.07</v>
      </c>
      <c r="O33" s="12">
        <f>SUM(L33*N33/100)</f>
        <v>1074.5</v>
      </c>
    </row>
    <row r="34" spans="2:15" x14ac:dyDescent="0.3">
      <c r="B34" s="21" t="s">
        <v>19</v>
      </c>
      <c r="C34" s="2">
        <f>IF(SUM(D30-C31-C32-C33)&lt;4000,SUM(D30-C31-C32-C33),SUM(D30-C31-C32-C33))</f>
        <v>115100</v>
      </c>
      <c r="D34" s="1" t="s">
        <v>0</v>
      </c>
      <c r="E34" s="11">
        <v>3.83</v>
      </c>
      <c r="F34" s="13">
        <f>SUM(C34*E34/100)</f>
        <v>4408.33</v>
      </c>
      <c r="G34" s="11"/>
      <c r="H34" s="1" t="s">
        <v>26</v>
      </c>
      <c r="I34" s="32">
        <f>D30/100*5.51</f>
        <v>13505.01</v>
      </c>
      <c r="K34" s="27" t="s">
        <v>19</v>
      </c>
      <c r="L34" s="28">
        <f>IF(SUM(M30-L31-L32-L33)&lt;4000,SUM(M30-L31-L32-L33),SUM(M30-L31-L32-L33))</f>
        <v>115100</v>
      </c>
      <c r="M34" s="1" t="s">
        <v>0</v>
      </c>
      <c r="N34" s="26">
        <v>3.84</v>
      </c>
      <c r="O34" s="13">
        <f>SUM(L34*N34/100)</f>
        <v>4419.84</v>
      </c>
    </row>
    <row r="35" spans="2:15" ht="17.25" thickBot="1" x14ac:dyDescent="0.4">
      <c r="B35" s="22"/>
      <c r="C35" s="15"/>
      <c r="D35" s="16"/>
      <c r="E35" s="16"/>
      <c r="F35" s="24">
        <f>SUM(F31:F34)</f>
        <v>7708.83</v>
      </c>
      <c r="G35" s="29"/>
      <c r="H35" s="1" t="s">
        <v>29</v>
      </c>
      <c r="I35" s="38">
        <f>SUM(I33+I34)</f>
        <v>17580.510000000002</v>
      </c>
      <c r="K35" s="22"/>
      <c r="L35" s="15"/>
      <c r="M35" s="16"/>
      <c r="N35" s="16"/>
      <c r="O35" s="24">
        <f>SUM(O31:O34)</f>
        <v>7723.84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WA Single Family</vt:lpstr>
      <vt:lpstr>WA Multi Family</vt:lpstr>
      <vt:lpstr>WA Commercial</vt:lpstr>
      <vt:lpstr>IRR Single Family</vt:lpstr>
      <vt:lpstr>IRR Other</vt:lpstr>
      <vt:lpstr>WA RV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Benward</dc:creator>
  <cp:lastModifiedBy>Kevin Morin</cp:lastModifiedBy>
  <cp:lastPrinted>2021-01-29T21:25:36Z</cp:lastPrinted>
  <dcterms:created xsi:type="dcterms:W3CDTF">1996-10-14T23:33:28Z</dcterms:created>
  <dcterms:modified xsi:type="dcterms:W3CDTF">2023-08-14T21:04:08Z</dcterms:modified>
</cp:coreProperties>
</file>